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C:\Users\lalit\Box\02 Health Financing\02 Program Activities\01 National Planning and Budgeting\01 HSSP Costings\HSSP III (2021)\05 Costing\01 Annex\"/>
    </mc:Choice>
  </mc:AlternateContent>
  <xr:revisionPtr revIDLastSave="0" documentId="13_ncr:1_{C2BFA77D-8918-4450-966A-8D35212CF458}" xr6:coauthVersionLast="47" xr6:coauthVersionMax="47" xr10:uidLastSave="{00000000-0000-0000-0000-000000000000}"/>
  <bookViews>
    <workbookView xWindow="28680" yWindow="-120" windowWidth="29040" windowHeight="15720" xr2:uid="{C0AF603B-E509-5642-ABB6-15CDF552770A}"/>
  </bookViews>
  <sheets>
    <sheet name="Tertiary Hospital Infrastucture" sheetId="2" r:id="rId1"/>
    <sheet name="COST | Infrastructure" sheetId="1" r:id="rId2"/>
  </sheets>
  <externalReferences>
    <externalReference r:id="rId3"/>
    <externalReference r:id="rId4"/>
  </externalReferences>
  <definedNames>
    <definedName name="__123Graph_A" hidden="1">#REF!</definedName>
    <definedName name="__123Graph_AGRAPH1" hidden="1">#REF!</definedName>
    <definedName name="__123Graph_AGRAPH2" hidden="1">#REF!</definedName>
    <definedName name="__123Graph_AGRAPH3" hidden="1">#REF!</definedName>
    <definedName name="__123Graph_AGRAPH4" hidden="1">#REF!</definedName>
    <definedName name="__123Graph_AGRAPH5" hidden="1">#REF!</definedName>
    <definedName name="__123Graph_AGRAPH6" hidden="1">#REF!</definedName>
    <definedName name="__123Graph_B" hidden="1">#REF!</definedName>
    <definedName name="__123Graph_BGRAPH1" hidden="1">#REF!</definedName>
    <definedName name="__123Graph_BGRAPH2" hidden="1">#REF!</definedName>
    <definedName name="__123Graph_BGRAPH3" hidden="1">#REF!</definedName>
    <definedName name="__123Graph_BGRAPH4" hidden="1">#REF!</definedName>
    <definedName name="__123Graph_BGRAPH5" hidden="1">#REF!</definedName>
    <definedName name="__123Graph_BGRAPH6" hidden="1">#REF!</definedName>
    <definedName name="__123Graph_C" hidden="1">#REF!</definedName>
    <definedName name="__123Graph_CGRAPH1" hidden="1">#REF!</definedName>
    <definedName name="__123Graph_CGRAPH2" hidden="1">#REF!</definedName>
    <definedName name="__123Graph_CGRAPH3" hidden="1">#REF!</definedName>
    <definedName name="__123Graph_CGRAPH6" hidden="1">#REF!</definedName>
    <definedName name="__123Graph_D" hidden="1">#REF!</definedName>
    <definedName name="__123Graph_DGRAPH1" hidden="1">#REF!</definedName>
    <definedName name="__123Graph_DGRAPH3" hidden="1">#REF!</definedName>
    <definedName name="__123Graph_DGRAPH6" hidden="1">#REF!</definedName>
    <definedName name="__123Graph_LBL_A" hidden="1">#REF!</definedName>
    <definedName name="__123Graph_LBL_AGRAPH1" hidden="1">#REF!</definedName>
    <definedName name="__123Graph_LBL_AGRAPH2" hidden="1">#REF!</definedName>
    <definedName name="__123Graph_LBL_B" hidden="1">#REF!</definedName>
    <definedName name="__123Graph_LBL_BGRAPH2" hidden="1">#REF!</definedName>
    <definedName name="__123Graph_LBL_D" hidden="1">#REF!</definedName>
    <definedName name="__123Graph_LBL_DGRAPH1" hidden="1">#REF!</definedName>
    <definedName name="__123Graph_X" hidden="1">#REF!</definedName>
    <definedName name="__123Graph_XGRAPH1" hidden="1">#REF!</definedName>
    <definedName name="__123Graph_XGRAPH2" hidden="1">#REF!</definedName>
    <definedName name="__123Graph_XGRAPH3" hidden="1">#REF!</definedName>
    <definedName name="__123Graph_XGRAPH4" hidden="1">#REF!</definedName>
    <definedName name="__123Graph_XGRAPH5" hidden="1">#REF!</definedName>
    <definedName name="__123Graph_XGRAPH6" hidden="1">#REF!</definedName>
    <definedName name="_Fill" hidden="1">#REF!</definedName>
    <definedName name="_xlcn.WorksheetConnection_Template_NSP2025_V1.xlsxPM" hidden="1">[1]!PM[#Data]</definedName>
    <definedName name="_xlcn.WorksheetConnection_Template_NSP2025_V1.xlsxResDev" hidden="1">[1]!ResDev[#Data]</definedName>
    <definedName name="ds" hidden="1">#REF!</definedName>
    <definedName name="exchangerate">#REF!</definedName>
    <definedName name="gdhd" hidden="1">#REF!</definedName>
    <definedName name="Header1" hidden="1">IF(COUNTA(#REF!)=0,0,INDEX(#REF!,MATCH(ROW(#REF!),#REF!,TRUE)))+1</definedName>
    <definedName name="Header2" hidden="1">[2]!Header1-1 &amp; "." &amp; MAX(1,COUNTA(INDEX(#REF!,MATCH([2]!Header1-1,#REF!,FALSE)):#REF!))</definedName>
    <definedName name="hello"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V20" i="2" l="1"/>
  <c r="S20" i="2"/>
  <c r="T20" i="2"/>
  <c r="U20" i="2"/>
  <c r="W20" i="2"/>
  <c r="X20" i="2"/>
  <c r="Y20" i="2"/>
  <c r="R20" i="2"/>
  <c r="S3" i="2"/>
  <c r="T3" i="2"/>
  <c r="U3" i="2"/>
  <c r="V3" i="2"/>
  <c r="W3" i="2"/>
  <c r="X3" i="2"/>
  <c r="Y3" i="2"/>
  <c r="R3" i="2"/>
  <c r="H10" i="2"/>
  <c r="H5" i="2"/>
  <c r="H6" i="2"/>
  <c r="H4" i="2"/>
  <c r="H22" i="2"/>
  <c r="H31" i="2"/>
  <c r="H29" i="2"/>
  <c r="H25" i="2"/>
  <c r="H18" i="2"/>
  <c r="H17" i="2"/>
  <c r="H16" i="2"/>
  <c r="C5" i="2"/>
  <c r="H32" i="2"/>
  <c r="R34" i="2"/>
  <c r="S34" i="2"/>
  <c r="H28" i="2"/>
  <c r="H27" i="2"/>
  <c r="H26" i="2"/>
  <c r="H12" i="2" l="1"/>
  <c r="H11" i="2"/>
  <c r="T12" i="2" l="1"/>
  <c r="W11" i="2"/>
  <c r="H7" i="2"/>
  <c r="V6" i="2"/>
  <c r="T5" i="2"/>
  <c r="H34" i="2"/>
  <c r="V26" i="2"/>
  <c r="C34" i="2"/>
  <c r="C33" i="2"/>
  <c r="C32" i="2"/>
  <c r="C31" i="2"/>
  <c r="C30" i="2"/>
  <c r="C29" i="2"/>
  <c r="C28" i="2"/>
  <c r="V27" i="2"/>
  <c r="C27" i="2"/>
  <c r="C26" i="2"/>
  <c r="X25" i="2"/>
  <c r="C25" i="2"/>
  <c r="C24" i="2"/>
  <c r="C23" i="2"/>
  <c r="C22" i="2"/>
  <c r="C21" i="2"/>
  <c r="H9" i="2"/>
  <c r="U9" i="2" s="1"/>
  <c r="W17" i="2"/>
  <c r="H14" i="2"/>
  <c r="U14" i="2" s="1"/>
  <c r="H13" i="2"/>
  <c r="R5" i="2"/>
  <c r="S5" i="2"/>
  <c r="U5" i="2"/>
  <c r="W5" i="2"/>
  <c r="X5" i="2"/>
  <c r="Y5" i="2"/>
  <c r="R6" i="2"/>
  <c r="T6" i="2"/>
  <c r="U6" i="2"/>
  <c r="W6" i="2"/>
  <c r="X6" i="2"/>
  <c r="Y6" i="2"/>
  <c r="R7" i="2"/>
  <c r="S7" i="2"/>
  <c r="T7" i="2"/>
  <c r="U7" i="2"/>
  <c r="V7" i="2"/>
  <c r="X7" i="2"/>
  <c r="Y7" i="2"/>
  <c r="R8" i="2"/>
  <c r="S8" i="2"/>
  <c r="T8" i="2"/>
  <c r="U8" i="2"/>
  <c r="V8" i="2"/>
  <c r="W8" i="2"/>
  <c r="X8" i="2"/>
  <c r="Y8" i="2"/>
  <c r="R9" i="2"/>
  <c r="S9" i="2"/>
  <c r="T9" i="2"/>
  <c r="V9" i="2"/>
  <c r="X9" i="2"/>
  <c r="Y9" i="2"/>
  <c r="R10" i="2"/>
  <c r="S10" i="2"/>
  <c r="T10" i="2"/>
  <c r="U10" i="2"/>
  <c r="V10" i="2"/>
  <c r="W10" i="2"/>
  <c r="X10" i="2"/>
  <c r="Y10" i="2"/>
  <c r="R11" i="2"/>
  <c r="S11" i="2"/>
  <c r="T11" i="2"/>
  <c r="U11" i="2"/>
  <c r="V11" i="2"/>
  <c r="X11" i="2"/>
  <c r="Y11" i="2"/>
  <c r="R12" i="2"/>
  <c r="S12" i="2"/>
  <c r="U12" i="2"/>
  <c r="V12" i="2"/>
  <c r="W12" i="2"/>
  <c r="X12" i="2"/>
  <c r="Y12" i="2"/>
  <c r="R13" i="2"/>
  <c r="S13" i="2"/>
  <c r="T13" i="2"/>
  <c r="U13" i="2"/>
  <c r="V13" i="2"/>
  <c r="W13" i="2"/>
  <c r="X13" i="2"/>
  <c r="Y13" i="2"/>
  <c r="R14" i="2"/>
  <c r="S14" i="2"/>
  <c r="T14" i="2"/>
  <c r="V14" i="2"/>
  <c r="W14" i="2"/>
  <c r="X14" i="2"/>
  <c r="Y14" i="2"/>
  <c r="R15" i="2"/>
  <c r="S15" i="2"/>
  <c r="T15" i="2"/>
  <c r="U15" i="2"/>
  <c r="V15" i="2"/>
  <c r="W15" i="2"/>
  <c r="X15" i="2"/>
  <c r="Y15" i="2"/>
  <c r="R16" i="2"/>
  <c r="S16" i="2"/>
  <c r="T16" i="2"/>
  <c r="U16" i="2"/>
  <c r="V16" i="2"/>
  <c r="W16" i="2"/>
  <c r="X16" i="2"/>
  <c r="Y16" i="2"/>
  <c r="R17" i="2"/>
  <c r="S17" i="2"/>
  <c r="T17" i="2"/>
  <c r="U17" i="2"/>
  <c r="V17" i="2"/>
  <c r="X17" i="2"/>
  <c r="Y17" i="2"/>
  <c r="R18" i="2"/>
  <c r="S18" i="2"/>
  <c r="T18" i="2"/>
  <c r="U18" i="2"/>
  <c r="V18" i="2"/>
  <c r="W18" i="2"/>
  <c r="X18" i="2"/>
  <c r="Y18" i="2"/>
  <c r="R21" i="2"/>
  <c r="S21" i="2"/>
  <c r="T21" i="2"/>
  <c r="U21" i="2"/>
  <c r="V21" i="2"/>
  <c r="W21" i="2"/>
  <c r="X21" i="2"/>
  <c r="Y21" i="2"/>
  <c r="R22" i="2"/>
  <c r="S22" i="2"/>
  <c r="T22" i="2"/>
  <c r="U22" i="2"/>
  <c r="V22" i="2"/>
  <c r="W22" i="2"/>
  <c r="X22" i="2"/>
  <c r="Y22" i="2"/>
  <c r="R23" i="2"/>
  <c r="S23" i="2"/>
  <c r="T23" i="2"/>
  <c r="U23" i="2"/>
  <c r="V23" i="2"/>
  <c r="W23" i="2"/>
  <c r="X23" i="2"/>
  <c r="Y23" i="2"/>
  <c r="R24" i="2"/>
  <c r="S24" i="2"/>
  <c r="T24" i="2"/>
  <c r="U24" i="2"/>
  <c r="V24" i="2"/>
  <c r="W24" i="2"/>
  <c r="X24" i="2"/>
  <c r="Y24" i="2"/>
  <c r="R25" i="2"/>
  <c r="S25" i="2"/>
  <c r="U25" i="2"/>
  <c r="V25" i="2"/>
  <c r="W25" i="2"/>
  <c r="Y25" i="2"/>
  <c r="R26" i="2"/>
  <c r="S26" i="2"/>
  <c r="T26" i="2"/>
  <c r="U26" i="2"/>
  <c r="W26" i="2"/>
  <c r="X26" i="2"/>
  <c r="Y26" i="2"/>
  <c r="R27" i="2"/>
  <c r="S27" i="2"/>
  <c r="T27" i="2"/>
  <c r="U27" i="2"/>
  <c r="W27" i="2"/>
  <c r="X27" i="2"/>
  <c r="Y27" i="2"/>
  <c r="R28" i="2"/>
  <c r="S28" i="2"/>
  <c r="T28" i="2"/>
  <c r="U28" i="2"/>
  <c r="V28" i="2"/>
  <c r="W28" i="2"/>
  <c r="X28" i="2"/>
  <c r="Y28" i="2"/>
  <c r="R29" i="2"/>
  <c r="S29" i="2"/>
  <c r="T29" i="2"/>
  <c r="U29" i="2"/>
  <c r="V29" i="2"/>
  <c r="W29" i="2"/>
  <c r="X29" i="2"/>
  <c r="Y29" i="2"/>
  <c r="R30" i="2"/>
  <c r="S30" i="2"/>
  <c r="T30" i="2"/>
  <c r="U30" i="2"/>
  <c r="V30" i="2"/>
  <c r="W30" i="2"/>
  <c r="X30" i="2"/>
  <c r="Y30" i="2"/>
  <c r="R31" i="2"/>
  <c r="S31" i="2"/>
  <c r="T31" i="2"/>
  <c r="U31" i="2"/>
  <c r="V31" i="2"/>
  <c r="W31" i="2"/>
  <c r="X31" i="2"/>
  <c r="Y31" i="2"/>
  <c r="R32" i="2"/>
  <c r="S32" i="2"/>
  <c r="T32" i="2"/>
  <c r="U32" i="2"/>
  <c r="V32" i="2"/>
  <c r="W32" i="2"/>
  <c r="X32" i="2"/>
  <c r="Y32" i="2"/>
  <c r="R33" i="2"/>
  <c r="S33" i="2"/>
  <c r="T33" i="2"/>
  <c r="U33" i="2"/>
  <c r="V33" i="2"/>
  <c r="W33" i="2"/>
  <c r="X33" i="2"/>
  <c r="Y33" i="2"/>
  <c r="T34" i="2"/>
  <c r="U34" i="2"/>
  <c r="V34" i="2"/>
  <c r="W34" i="2"/>
  <c r="X34" i="2"/>
  <c r="Y34" i="2"/>
  <c r="R35" i="2"/>
  <c r="S35" i="2"/>
  <c r="T35" i="2"/>
  <c r="U35" i="2"/>
  <c r="V35" i="2"/>
  <c r="W35" i="2"/>
  <c r="X35" i="2"/>
  <c r="Y35" i="2"/>
  <c r="R36" i="2"/>
  <c r="S36" i="2"/>
  <c r="T36" i="2"/>
  <c r="U36" i="2"/>
  <c r="V36" i="2"/>
  <c r="W36" i="2"/>
  <c r="X36" i="2"/>
  <c r="Y36" i="2"/>
  <c r="R37" i="2"/>
  <c r="S37" i="2"/>
  <c r="T37" i="2"/>
  <c r="U37" i="2"/>
  <c r="V37" i="2"/>
  <c r="W37" i="2"/>
  <c r="X37" i="2"/>
  <c r="Y37" i="2"/>
  <c r="T4" i="2"/>
  <c r="U4" i="2"/>
  <c r="V4" i="2"/>
  <c r="W4" i="2"/>
  <c r="X4" i="2"/>
  <c r="Y4" i="2"/>
  <c r="R4" i="2"/>
  <c r="W7" i="2"/>
  <c r="S4" i="2"/>
  <c r="S6" i="2" l="1"/>
  <c r="V5" i="2"/>
  <c r="T25" i="2"/>
  <c r="W9" i="2"/>
  <c r="C6" i="2" l="1"/>
  <c r="C7" i="2"/>
  <c r="C8" i="2"/>
  <c r="C9" i="2"/>
  <c r="C10" i="2"/>
  <c r="C11" i="2"/>
  <c r="C12" i="2"/>
  <c r="C13" i="2"/>
  <c r="C14" i="2"/>
  <c r="C15" i="2"/>
  <c r="C16" i="2"/>
  <c r="C17" i="2"/>
  <c r="C18" i="2"/>
  <c r="C4" i="2"/>
  <c r="A70" i="1" l="1"/>
  <c r="A71" i="1" s="1"/>
  <c r="A72" i="1" s="1"/>
  <c r="A73" i="1" s="1"/>
  <c r="A74" i="1" s="1"/>
  <c r="A75" i="1" s="1"/>
  <c r="A76" i="1" s="1"/>
  <c r="A77" i="1" s="1"/>
  <c r="A78" i="1" s="1"/>
  <c r="A79" i="1" s="1"/>
  <c r="B65" i="1"/>
  <c r="B66" i="1" s="1"/>
  <c r="C66" i="1" s="1"/>
  <c r="D56" i="1"/>
  <c r="D62" i="1" s="1"/>
  <c r="D40" i="1"/>
  <c r="D39" i="1"/>
  <c r="D36" i="1"/>
  <c r="D44" i="1" s="1"/>
  <c r="D29" i="1"/>
  <c r="D28" i="1"/>
  <c r="B25" i="1"/>
  <c r="D25" i="1" s="1"/>
  <c r="D17" i="1"/>
  <c r="D16" i="1"/>
  <c r="D13" i="1"/>
  <c r="D6" i="1"/>
  <c r="D5" i="1"/>
  <c r="B2" i="1"/>
  <c r="D2" i="1" s="1"/>
  <c r="D10" i="1" s="1"/>
  <c r="D22" i="1" l="1"/>
  <c r="C65" i="1" s="1"/>
  <c r="D33" i="1"/>
  <c r="C67" i="1"/>
  <c r="C78" i="1" l="1"/>
  <c r="C74" i="1"/>
  <c r="C70" i="1"/>
  <c r="C77" i="1"/>
  <c r="C73" i="1"/>
  <c r="C69" i="1"/>
  <c r="C76" i="1"/>
  <c r="C75" i="1"/>
  <c r="C71" i="1"/>
  <c r="C7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tc={0F26CC97-8435-9C48-86D2-1AFE7D9EC06C}</author>
    <author>tc={FCED70E8-435D-AF4C-BF21-37DF6364E505}</author>
    <author>tc={8B609006-6A67-FC4C-BD02-13BD5ED0EEDC}</author>
    <author>tc={158B54EC-4E05-AE49-9B09-537C79CC264D}</author>
    <author>tc={C309D0F7-276D-0D45-B38B-ED4B051E76BD}</author>
    <author>tc={7E91972F-7EA9-B640-9E1C-17F13C20FFBF}</author>
    <author>tc={45FDAA92-9A1D-A04D-AF82-21CA768AF10F}</author>
    <author>tc={D87248B4-50A0-A14E-9129-693B7B47E417}</author>
    <author>tc={4E2D8F7D-A21F-9645-8DC2-DD163287A085}</author>
    <author>tc={0647E1CF-B51A-AB4D-8FE2-1D475171069F}</author>
    <author>tc={97EFD6D9-6DD7-DB4D-80EE-3F92D20BA7D6}</author>
    <author>tc={F53E82B4-A1F5-4B35-9617-9B66EBD73E1C}</author>
    <author>tc={011AB7D2-D4E4-A948-A0E3-29586280186C}</author>
    <author>tc={137FD00A-4436-F444-8058-936F82B2F14F}</author>
    <author>tc={F1B17D0F-7328-7E49-9D12-EAE704880E04}</author>
    <author>tc={FF6EEA31-0ECE-1B4E-BC50-FB227EDB8BCD}</author>
  </authors>
  <commentList>
    <comment ref="G4" authorId="0" shapeId="0" xr:uid="{0F26CC97-8435-9C48-86D2-1AFE7D9EC06C}">
      <text>
        <t>[Threaded comment]
Your version of Excel allows you to read this threaded comment; however, any edits to it will get removed if the file is opened in a newer version of Excel. Learn more: https://go.microsoft.com/fwlink/?linkid=870924
Comment:
    This seems like a low cost. Guess it depends on the size but don’t want to under cost.
Reply:
    modified, please review
Reply:
    Not sure how you calculated as my reading of this an emergency center at QECh is 600,000,000. I would guess a training center would be 1/2 this and research unit, infectious disease would be the same.</t>
      </text>
    </comment>
    <comment ref="G5" authorId="1" shapeId="0" xr:uid="{FCED70E8-435D-AF4C-BF21-37DF6364E505}">
      <text>
        <t>[Threaded comment]
Your version of Excel allows you to read this threaded comment; however, any edits to it will get removed if the file is opened in a newer version of Excel. Learn more: https://go.microsoft.com/fwlink/?linkid=870924
Comment:
    Is is 107,000?? Or 1 million USD? These are much different construction than a lab and a research unit or infectious disease unit would be building a whole new site - like Mercy James. Would need a lot more money. Even  the administration block would need close to a million I would think.
Reply:
    modified, please review</t>
      </text>
    </comment>
    <comment ref="G11" authorId="2" shapeId="0" xr:uid="{8B609006-6A67-FC4C-BD02-13BD5ED0EEDC}">
      <text>
        <t>[Threaded comment]
Your version of Excel allows you to read this threaded comment; however, any edits to it will get removed if the file is opened in a newer version of Excel. Learn more: https://go.microsoft.com/fwlink/?linkid=870924
Comment:
    This cost will be much higher as it will include at least 2-3 theaters, pre and post op areas, equipment and storage, and like an HDU. 
Reply:
    modified, please review
Reply:
    Seems very reasonable to me</t>
      </text>
    </comment>
    <comment ref="G12" authorId="3" shapeId="0" xr:uid="{158B54EC-4E05-AE49-9B09-537C79CC264D}">
      <text>
        <t>[Threaded comment]
Your version of Excel allows you to read this threaded comment; however, any edits to it will get removed if the file is opened in a newer version of Excel. Learn more: https://go.microsoft.com/fwlink/?linkid=870924
Comment:
    A unit will be 2 wards, HDU and ICU -will need to increase cost
Reply:
    modified, please review
Reply:
    Seems very reasonable to me</t>
      </text>
    </comment>
    <comment ref="G16" authorId="4" shapeId="0" xr:uid="{C309D0F7-276D-0D45-B38B-ED4B051E76BD}">
      <text>
        <t>[Threaded comment]
Your version of Excel allows you to read this threaded comment; however, any edits to it will get removed if the file is opened in a newer version of Excel. Learn more: https://go.microsoft.com/fwlink/?linkid=870924
Comment:
    Is this costed right from the ECCS?
Reply:
    assumed that this will be treated in the emergency unit which is part of ECCS? Let me know if this will be separate in your opinion?
Reply:
    A burns unit is a separate unit from the emergency department and not in the  ECCS currently. I would add in the cost of the infectious disease unit as this cost.</t>
      </text>
    </comment>
    <comment ref="G17" authorId="5" shapeId="0" xr:uid="{7E91972F-7EA9-B640-9E1C-17F13C20FFBF}">
      <text>
        <t>[Threaded comment]
Your version of Excel allows you to read this threaded comment; however, any edits to it will get removed if the file is opened in a newer version of Excel. Learn more: https://go.microsoft.com/fwlink/?linkid=870924
Comment:
    A certain reason this is 30%? Will it be that much smaller? Perhaps 50% at least?
Reply:
    sure</t>
      </text>
    </comment>
    <comment ref="G18" authorId="6" shapeId="0" xr:uid="{45FDAA92-9A1D-A04D-AF82-21CA768AF10F}">
      <text>
        <t>[Threaded comment]
Your version of Excel allows you to read this threaded comment; however, any edits to it will get removed if the file is opened in a newer version of Excel. Learn more: https://go.microsoft.com/fwlink/?linkid=870924
Comment:
    Same as orthopedic center - will need theatres, pre and post op, examination rooms, X-ray, equipment, and a small lab with a few inpatient beds. Will need admin and conference space too.
Reply:
    modified, please review
Reply:
    Thanks so much - this seems reasonable - the ICU/HDU would be ward beds but don’t think this changes the cost right?
Reply:
    changed but kept only one ward construction</t>
      </text>
    </comment>
    <comment ref="G22" authorId="7" shapeId="0" xr:uid="{D87248B4-50A0-A14E-9129-693B7B47E417}">
      <text>
        <t xml:space="preserve">[Threaded comment]
Your version of Excel allows you to read this threaded comment; however, any edits to it will get removed if the file is opened in a newer version of Excel. Learn more: https://go.microsoft.com/fwlink/?linkid=870924
Comment:
    This was not part of the ECCS, will need to assume the cost here.
Reply:
    modified, please review
Reply:
    Would use the cost of the emergency unit at 600,000,000 MWK per the article </t>
      </text>
    </comment>
    <comment ref="G25" authorId="8" shapeId="0" xr:uid="{4E2D8F7D-A21F-9645-8DC2-DD163287A085}">
      <text>
        <t>[Threaded comment]
Your version of Excel allows you to read this threaded comment; however, any edits to it will get removed if the file is opened in a newer version of Excel. Learn more: https://go.microsoft.com/fwlink/?linkid=870924
Comment:
    This will be operating theatres, pre and post op, recovery area, waiting room, admin spaces. Need more space.
Reply:
    done, please check
Reply:
    Just want to make sure this is 20% of “others” and not total right?
Reply:
    I added 20% of total, seems unreasonable?</t>
      </text>
    </comment>
    <comment ref="G26" authorId="9" shapeId="0" xr:uid="{0647E1CF-B51A-AB4D-8FE2-1D475171069F}">
      <text>
        <t>[Threaded comment]
Your version of Excel allows you to read this threaded comment; however, any edits to it will get removed if the file is opened in a newer version of Excel. Learn more: https://go.microsoft.com/fwlink/?linkid=870924
Comment:
    This  would be the same as  the endoscopy unit
Reply:
    modified, please review
Reply:
    see above</t>
      </text>
    </comment>
    <comment ref="G27" authorId="10" shapeId="0" xr:uid="{97EFD6D9-6DD7-DB4D-80EE-3F92D20BA7D6}">
      <text>
        <t>[Threaded comment]
Your version of Excel allows you to read this threaded comment; however, any edits to it will get removed if the file is opened in a newer version of Excel. Learn more: https://go.microsoft.com/fwlink/?linkid=870924
Comment:
    They  would like this at QECH  too - is that costed?
Reply:
    modified, please review
Reply:
    Seems reasonable</t>
      </text>
    </comment>
    <comment ref="G28" authorId="11" shapeId="0" xr:uid="{F53E82B4-A1F5-4B35-9617-9B66EBD73E1C}">
      <text>
        <t>[Threaded comment]
Your version of Excel allows you to read this threaded comment; however, any edits to it will get removed if the file is opened in a newer version of Excel. Learn more: https://go.microsoft.com/fwlink/?linkid=870924
Comment:
    This  would be the same as  the endoscopy unit
Reply:
    modified, please review
Reply:
    see my note there but seems reasonable</t>
      </text>
    </comment>
    <comment ref="G29" authorId="12" shapeId="0" xr:uid="{011AB7D2-D4E4-A948-A0E3-29586280186C}">
      <text>
        <t>[Threaded comment]
Your version of Excel allows you to read this threaded comment; however, any edits to it will get removed if the file is opened in a newer version of Excel. Learn more: https://go.microsoft.com/fwlink/?linkid=870924
Comment:
    This is likely high - would do the cost of the lab or closer to the 500 million range</t>
      </text>
    </comment>
    <comment ref="G30" authorId="13" shapeId="0" xr:uid="{137FD00A-4436-F444-8058-936F82B2F14F}">
      <text>
        <t>[Threaded comment]
Your version of Excel allows you to read this threaded comment; however, any edits to it will get removed if the file is opened in a newer version of Excel. Learn more: https://go.microsoft.com/fwlink/?linkid=870924
Comment:
    This has significant equipment and infrastructure cost - we had included this sort of thing in the ECCS infra- are you doing it here? This requires cost of HDU with additional equipment.
Reply:
    Modified
Reply:
    I would recommend this lower at the cost of an HDU/ICU - 5 million likely</t>
      </text>
    </comment>
    <comment ref="G31" authorId="14" shapeId="0" xr:uid="{F1B17D0F-7328-7E49-9D12-EAE704880E04}">
      <text>
        <t>[Threaded comment]
Your version of Excel allows you to read this threaded comment; however, any edits to it will get removed if the file is opened in a newer version of Excel. Learn more: https://go.microsoft.com/fwlink/?linkid=870924
Comment:
    Not covered in ECCS
Reply:
    Modified
Reply:
    I would recommend the 600,000,000 for this.</t>
      </text>
    </comment>
    <comment ref="G32" authorId="15" shapeId="0" xr:uid="{FF6EEA31-0ECE-1B4E-BC50-FB227EDB8BCD}">
      <text>
        <t>[Threaded comment]
Your version of Excel allows you to read this threaded comment; however, any edits to it will get removed if the file is opened in a newer version of Excel. Learn more: https://go.microsoft.com/fwlink/?linkid=870924
Comment:
    Not included in ECCS
Reply:
    Added cost
Reply:
    seems reasonable</t>
      </text>
    </comment>
  </commentList>
</comments>
</file>

<file path=xl/sharedStrings.xml><?xml version="1.0" encoding="utf-8"?>
<sst xmlns="http://schemas.openxmlformats.org/spreadsheetml/2006/main" count="287" uniqueCount="150">
  <si>
    <t>20 Bed Emergency Care Unit</t>
  </si>
  <si>
    <t>m2</t>
  </si>
  <si>
    <t>$ / m2</t>
  </si>
  <si>
    <t>Column1</t>
  </si>
  <si>
    <t>Notes</t>
  </si>
  <si>
    <t>Base Building Cost</t>
  </si>
  <si>
    <t xml:space="preserve">*price based on actuals from Neno Maternity &amp; Gyne ($450/m2) &amp; Neno OPD ($380/m2) Not comparable to Queens or Chiradzulu level of construction, which would be much more expensive. </t>
  </si>
  <si>
    <t>Added Features</t>
  </si>
  <si>
    <t>HVAC for conditioning and 12 ACH</t>
  </si>
  <si>
    <t>*based on rough cost from HUM, costs in Malawi could vary</t>
  </si>
  <si>
    <t>Oxygen cylinder manifold and 20 outlets</t>
  </si>
  <si>
    <t>*based on quote from ZA medgas installer</t>
  </si>
  <si>
    <t>Central vacuum system and 20 outlets</t>
  </si>
  <si>
    <t>Adding 20 kVA Uninterruptable Power Supply</t>
  </si>
  <si>
    <t>*based on actual 20 kVA UPS quote from Malawi</t>
  </si>
  <si>
    <t>Intercom System for rooms to nursing</t>
  </si>
  <si>
    <t>*no pricing</t>
  </si>
  <si>
    <t>Total</t>
  </si>
  <si>
    <t>10 Bed Short Stay</t>
  </si>
  <si>
    <t>*assumes 10 outlets. Are 20 needed?</t>
  </si>
  <si>
    <t>*assumes 10 outlets</t>
  </si>
  <si>
    <t>8 Bed ICU/HDU</t>
  </si>
  <si>
    <t>Oxygen cylinder manifold and 8 outlets</t>
  </si>
  <si>
    <t>Central vacuum system and 8 outlets</t>
  </si>
  <si>
    <t>Intercom System for Isolation and VIP rooms</t>
  </si>
  <si>
    <t>2 Bed Operating Theatre</t>
  </si>
  <si>
    <t>*some district hospitals will need additional 1 theatre and most will need upgrades to the theatre. Hard to guess size here, this assumes two ORS, scrub room, some storage, sterilization room, corridor, but more could be needed, changing rooms, etc? So it oculd be considerably larger</t>
  </si>
  <si>
    <t>Intercom System</t>
  </si>
  <si>
    <t>Anesthesia machines (Mindray WAT 35, Universal, Glistavent) - theatre at district (2 machines); central (6 machines)</t>
  </si>
  <si>
    <t>each</t>
  </si>
  <si>
    <t>*Gradian Universal Price</t>
  </si>
  <si>
    <t>Other Facility Upgrades and Capital Equipment</t>
  </si>
  <si>
    <t>Column2</t>
  </si>
  <si>
    <t>Column3</t>
  </si>
  <si>
    <t>Column4</t>
  </si>
  <si>
    <t>Upgrade OR Lighting</t>
  </si>
  <si>
    <t>*based on single arm ceiling mounted LED OR light + installation</t>
  </si>
  <si>
    <t>Upgrade OR Ventilation and Filtration</t>
  </si>
  <si>
    <t xml:space="preserve">*tough to estimate. I don't have good pricing on systems we've done in the past. </t>
  </si>
  <si>
    <t>Upgrade OR for Anesthesia gas scavanging</t>
  </si>
  <si>
    <t>*need to check local regulations, but we can just connect to central vacuum system by adding WAGD outlet, in which case cost would be a couple thousand</t>
  </si>
  <si>
    <t>Upgrading Lab spaces</t>
  </si>
  <si>
    <t>*windows, Aircons, electrical upgrades, small UPSs, plumbing. Rough estimate</t>
  </si>
  <si>
    <t>Adding backup generator</t>
  </si>
  <si>
    <t>*assume 100 kVA generator. Based on quote from FES Malawi</t>
  </si>
  <si>
    <t>Adding automatic transfer switch for generator</t>
  </si>
  <si>
    <t>*based on online price of 400 Amp ASCO ATS + labor and additional materials to install</t>
  </si>
  <si>
    <t>Adding Disposal incinerator</t>
  </si>
  <si>
    <t xml:space="preserve">*based on quote for 20 kg/hr @ 1000 deg C batch incinerator. Larger continous feed for 120kg/hr can run in $120k region. </t>
  </si>
  <si>
    <t>Adding CT scan to central hospital Emergency care unit</t>
  </si>
  <si>
    <t>*based on GE 64 slice CT (maybe cheaper options), additional 60m2 building area, and some electrical upgrades</t>
  </si>
  <si>
    <t>Yearly CT Scan comprehensive maintenance contract</t>
  </si>
  <si>
    <t>*based on quote for a CT service in Haiti</t>
  </si>
  <si>
    <t>TOTAL COSTS</t>
  </si>
  <si>
    <t>New Construction (15% of district hospitals)</t>
  </si>
  <si>
    <t>Refurbishment District Hospital (85% of district hospitals)</t>
  </si>
  <si>
    <t>Refurbishment Central Hospital (100% of central hospitals)</t>
  </si>
  <si>
    <t>Annual Cost (target 10% of total each year)</t>
  </si>
  <si>
    <t>New Build</t>
  </si>
  <si>
    <t>X</t>
  </si>
  <si>
    <t>Sub-Activity</t>
  </si>
  <si>
    <t>Reform</t>
  </si>
  <si>
    <t>Source of Sub-Activity and Operational Activity</t>
  </si>
  <si>
    <t>Cost Assumptions</t>
  </si>
  <si>
    <t>QTY/ Frequency</t>
  </si>
  <si>
    <t>NA</t>
  </si>
  <si>
    <t>Training centers with simulation equipment for medical students, interns, current staff and consultants to improve skills (KCH, QECH)</t>
  </si>
  <si>
    <t>Research units (KCH, QECH)</t>
  </si>
  <si>
    <t>Infectious disease unit (KCH, QECH)</t>
  </si>
  <si>
    <t>Administration block (KCH, MCH)</t>
  </si>
  <si>
    <t>Staff houses (KCH)</t>
  </si>
  <si>
    <t>Paying wings (KCH, QECH, MCH)</t>
  </si>
  <si>
    <t>Gynecology ward (MCH)</t>
  </si>
  <si>
    <t>Orthopedic Center (MCH)</t>
  </si>
  <si>
    <t>Pediatric Unit (MCH)</t>
  </si>
  <si>
    <t>Private theatre (MCH)</t>
  </si>
  <si>
    <t>OPD (paying MCH)</t>
  </si>
  <si>
    <t>One Stop Centre (MCH)</t>
  </si>
  <si>
    <t>Burns unit (Mzuzu)</t>
  </si>
  <si>
    <t>Oncology unit (Mzuzu)</t>
  </si>
  <si>
    <t>Dental unit/ward (Mzuzu, KCH)</t>
  </si>
  <si>
    <t>Intensive Care Units (ICUs) – adult and pediatric medical and surgical; eventually specific ICUs such as neurosurgical, cardiac</t>
  </si>
  <si>
    <t>Neonatal Intensive Care Units (NICU) – availability of ventilation and hypoxic ischemic encephalopathy head and body cooling (mainly Zomba, Mzuzu)</t>
  </si>
  <si>
    <t>HDUs for male, female, pediatrics, neonatal, maternal and other specialty (all)</t>
  </si>
  <si>
    <t>Operating theatres– specific to specialties, for example ophthalmology, cardiology/cardiothoracic, gynecology, ENT, dentistry, urology, nephrology, etc</t>
  </si>
  <si>
    <t>Endoscopy Units (QECH, KCH, MCH)</t>
  </si>
  <si>
    <t>Catheterization lab for cardiac – specifically for QECH at this point but indicated KCH as well</t>
  </si>
  <si>
    <t>Radiology Centers – expanded radiological services at all central hospitals but specifically radiotherapy for cancer center (not sure if this is infrastructure is within the cancer center at the moment or its more of a need for equipment and staff with expertise)</t>
  </si>
  <si>
    <t>Dialysis unit (KCH, MCH, QECH)</t>
  </si>
  <si>
    <t>Pathology centers (all)</t>
  </si>
  <si>
    <t>HEPA Isolation rooms (KCH)</t>
  </si>
  <si>
    <t>Same Day Surgical Center (all)</t>
  </si>
  <si>
    <t>Improved specialty clinics – more space and procedure rooms (all)</t>
  </si>
  <si>
    <t>Short stay wards within A&amp;E (all)</t>
  </si>
  <si>
    <t>Rehabilitation units (all)</t>
  </si>
  <si>
    <t>Tertiary Hospital Consultation</t>
  </si>
  <si>
    <t>Included in existing CIP for KCH</t>
  </si>
  <si>
    <t>Unit Cost  MWK</t>
  </si>
  <si>
    <t xml:space="preserve">Assumed same as Maternity Ward from CIP </t>
  </si>
  <si>
    <t>Assumed from ECCS costing, 2 bed operating theatre</t>
  </si>
  <si>
    <t>Assumed same as One Stop YFHS</t>
  </si>
  <si>
    <t>Assumed 30% of the cost of the cancer center as this is an oncology unit</t>
  </si>
  <si>
    <t>Assumed paying wing will cost only 30% of the cost of a full ECC infrastructure as they will be smaller scale and focussed on providing better staying facilities but with equipment?</t>
  </si>
  <si>
    <t>Assumed this will be covered as part of ECCS</t>
  </si>
  <si>
    <t>Assumed 40% of the cost of Cancer Center</t>
  </si>
  <si>
    <t>Assumed same cost as 10 Bed Short Stay</t>
  </si>
  <si>
    <t>Tertiary Hospital Feedback</t>
  </si>
  <si>
    <t>https://www.nyasatimes.com/lecturers-hail-chakwera-for-opening-luanar-administration-building-and-lecture-rooms/</t>
  </si>
  <si>
    <t>https://www.theatlasmw.com/hitesh-meeta-anadkat-donate-k400m-for-childrens-emergency-ward-construction-at-qech/</t>
  </si>
  <si>
    <t>Cost of 2 Bed Operating Theatre+ 8 Bed ICU/HDU+ 10 Bed Short Stay+Administration Space+Small Lab (10% of the total cost)</t>
  </si>
  <si>
    <t>Cost of 2 Bed Operating Theatre+ 10 Bed Short Stay+Administration Space+Equipment + Others (20% of the total cost)</t>
  </si>
  <si>
    <t>An emergency center at QECh is 600,000,000. assumed a training center would be 1/2 this and research unit, infectious disease would be the same.</t>
  </si>
  <si>
    <t>Cost of 2 Bed Operating Theatre+10 Bed Short Stay+Administration Space+Small Lab+Equipment+Others (10% of the total cost)</t>
  </si>
  <si>
    <t>Assumed closer to the cost of an emergency center</t>
  </si>
  <si>
    <t xml:space="preserve">Assumed closer to the cost of an HDU / ICU </t>
  </si>
  <si>
    <t>Cost of 2 Bed Operating Theatre+ 10 Bed Short Stay+Administration Space+Small Lab +Equipment + Others (20% of the total besides Others)</t>
  </si>
  <si>
    <t>Tertiary Hospital Strategic Infrastructure Priorities</t>
  </si>
  <si>
    <t>In MWK</t>
  </si>
  <si>
    <t>Tertiary Hospital Consultations for Advanced Care delivery</t>
  </si>
  <si>
    <t>Objective 3: Improve the availability, accessibility and quality of health infrastructure and medical equipment at all levels of health care</t>
  </si>
  <si>
    <t>3.1 Strengthen evidence based management and construction new health infrastructure to meet burden of disease and service delivery needs</t>
  </si>
  <si>
    <t>3.1.1 Construct new health infrastructure, including new district hospitals, new community hospitals, new health centers, new health posts, new maternity units, new staff houses, construction of laboratories, construction of ultrasound rooms, x-ray room construction, and other new specialized construction at central hospitals, including speeding up construction of stalled projects</t>
  </si>
  <si>
    <t>New builds based on tertiary hospital strategic consultations</t>
  </si>
  <si>
    <t>3.1.1</t>
  </si>
  <si>
    <t>Objective_Code</t>
  </si>
  <si>
    <t>Objective_Description</t>
  </si>
  <si>
    <t>Strategy_Code</t>
  </si>
  <si>
    <t>Strategy_Description</t>
  </si>
  <si>
    <t>Activity_CODE</t>
  </si>
  <si>
    <t>Activity_Description</t>
  </si>
  <si>
    <t>HSSP III Costing Hierarchy&gt;&gt;</t>
  </si>
  <si>
    <t>3.1.2 Establish Trauma Management Centres in the hospitals along the M1 road to manage road traffic injuries</t>
  </si>
  <si>
    <t xml:space="preserve">Construct advanced care delivery infrastructure based on Tertiary Hospital Consultations </t>
  </si>
  <si>
    <t>3.1.2</t>
  </si>
  <si>
    <t>Take place in Y1 or FY 2023/2024?</t>
  </si>
  <si>
    <t>Take place in Y2 or FY 2024/2025?</t>
  </si>
  <si>
    <t>Take place in Y3 or FY 2025/2026?</t>
  </si>
  <si>
    <t>Take place in Y4 or FY 2026/2027?</t>
  </si>
  <si>
    <t>Take place in Y5 or FY 2027/2028?</t>
  </si>
  <si>
    <t>Take place in Y6 or FY 2028/2029?</t>
  </si>
  <si>
    <t>Take place in Y7 or FY 2029/2030?</t>
  </si>
  <si>
    <t>Take place in Y8 or FY 2030/2031?</t>
  </si>
  <si>
    <t xml:space="preserve"> Cost for Y1 or FY 2023/2024</t>
  </si>
  <si>
    <t xml:space="preserve"> Cost for Y2 or FY 2024/2025</t>
  </si>
  <si>
    <t xml:space="preserve"> Cost for Y3 or FY 2025/2026</t>
  </si>
  <si>
    <t xml:space="preserve"> Cost for Y4 or FY 2026/2027</t>
  </si>
  <si>
    <t xml:space="preserve"> Cost for Y5 or FY 2027/2028</t>
  </si>
  <si>
    <t xml:space="preserve"> Cost for Y6 or FY 2028/2029</t>
  </si>
  <si>
    <t xml:space="preserve"> Cost for Y7 or FY 2029/2030</t>
  </si>
  <si>
    <t xml:space="preserve"> Cost for Y8 or FY 2030/2031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</si>
</sst>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quot;$&quot;* #,##0_);_(&quot;$&quot;* \(#,##0\);_(&quot;$&quot;* &quot;-&quot;??_);_(@_)"/>
    <numFmt numFmtId="165" formatCode="_(* #,##0_);_(* \(#,##0\);_(* &quot;-&quot;??_);_(@_)"/>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
      <b/>
      <sz val="10"/>
      <color theme="1"/>
      <name val="Calibri"/>
      <family val="2"/>
      <scheme val="minor"/>
    </font>
    <font>
      <u/>
      <sz val="11"/>
      <color theme="10"/>
      <name val="Calibri"/>
      <family val="2"/>
      <scheme val="minor"/>
    </font>
    <font>
      <sz val="11"/>
      <color theme="1"/>
      <name val="Segoe UI"/>
      <family val="2"/>
    </font>
    <font>
      <b/>
      <sz val="12"/>
      <color theme="0"/>
      <name val="Calibri"/>
      <family val="2"/>
      <scheme val="minor"/>
    </font>
    <font>
      <b/>
      <sz val="10"/>
      <color theme="0"/>
      <name val="Calibri"/>
      <family val="2"/>
      <scheme val="minor"/>
    </font>
    <font>
      <b/>
      <sz val="11"/>
      <color theme="0"/>
      <name val="Calibri"/>
      <family val="2"/>
      <scheme val="minor"/>
    </font>
    <font>
      <sz val="11"/>
      <color theme="0"/>
      <name val="Calibri"/>
      <family val="2"/>
      <scheme val="minor"/>
    </font>
  </fonts>
  <fills count="10">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rgb="FFFFFF00"/>
        <bgColor indexed="64"/>
      </patternFill>
    </fill>
    <fill>
      <patternFill patternType="solid">
        <fgColor rgb="FFD9EAD3"/>
        <bgColor rgb="FFD9EAD3"/>
      </patternFill>
    </fill>
    <fill>
      <patternFill patternType="solid">
        <fgColor theme="8" tint="-0.499984740745262"/>
        <bgColor rgb="FFC9DAF8"/>
      </patternFill>
    </fill>
    <fill>
      <patternFill patternType="solid">
        <fgColor theme="8" tint="-0.249977111117893"/>
        <bgColor indexed="64"/>
      </patternFill>
    </fill>
    <fill>
      <patternFill patternType="solid">
        <fgColor theme="9" tint="-0.249977111117893"/>
        <bgColor rgb="FFD9D2E9"/>
      </patternFill>
    </fill>
    <fill>
      <patternFill patternType="solid">
        <fgColor theme="8"/>
        <bgColor indexed="64"/>
      </patternFill>
    </fill>
  </fills>
  <borders count="11">
    <border>
      <left/>
      <right/>
      <top/>
      <bottom/>
      <diagonal/>
    </border>
    <border>
      <left/>
      <right/>
      <top style="thin">
        <color indexed="64"/>
      </top>
      <bottom style="thin">
        <color indexed="64"/>
      </bottom>
      <diagonal/>
    </border>
    <border>
      <left/>
      <right style="thin">
        <color auto="1"/>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auto="1"/>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5" fillId="0" borderId="0" applyNumberFormat="0" applyFill="0" applyBorder="0" applyAlignment="0" applyProtection="0"/>
  </cellStyleXfs>
  <cellXfs count="61">
    <xf numFmtId="0" fontId="0" fillId="0" borderId="0" xfId="0"/>
    <xf numFmtId="0" fontId="0" fillId="2" borderId="1" xfId="0" applyFill="1" applyBorder="1"/>
    <xf numFmtId="0" fontId="0" fillId="2" borderId="1" xfId="0" applyFill="1" applyBorder="1" applyAlignment="1">
      <alignment horizontal="center"/>
    </xf>
    <xf numFmtId="0" fontId="0" fillId="2" borderId="2" xfId="0" applyFill="1" applyBorder="1"/>
    <xf numFmtId="164" fontId="0" fillId="0" borderId="3" xfId="2" applyNumberFormat="1" applyFont="1" applyBorder="1"/>
    <xf numFmtId="0" fontId="0" fillId="3" borderId="0" xfId="0" applyFill="1"/>
    <xf numFmtId="164" fontId="0" fillId="3" borderId="3" xfId="2" applyNumberFormat="1" applyFont="1" applyFill="1" applyBorder="1"/>
    <xf numFmtId="165" fontId="0" fillId="0" borderId="0" xfId="1" applyNumberFormat="1" applyFont="1" applyBorder="1"/>
    <xf numFmtId="164" fontId="0" fillId="0" borderId="0" xfId="0" applyNumberFormat="1"/>
    <xf numFmtId="0" fontId="2" fillId="0" borderId="1" xfId="0" applyFont="1" applyBorder="1"/>
    <xf numFmtId="164" fontId="2" fillId="0" borderId="2" xfId="2" applyNumberFormat="1" applyFont="1" applyBorder="1"/>
    <xf numFmtId="164" fontId="0" fillId="0" borderId="0" xfId="2" applyNumberFormat="1" applyFont="1"/>
    <xf numFmtId="164" fontId="0" fillId="2" borderId="2" xfId="2" applyNumberFormat="1" applyFont="1" applyFill="1" applyBorder="1"/>
    <xf numFmtId="0" fontId="2" fillId="0" borderId="0" xfId="0" applyFont="1"/>
    <xf numFmtId="164" fontId="2" fillId="0" borderId="0" xfId="2" applyNumberFormat="1" applyFont="1"/>
    <xf numFmtId="164" fontId="0" fillId="0" borderId="3" xfId="2" applyNumberFormat="1" applyFont="1" applyFill="1" applyBorder="1"/>
    <xf numFmtId="0" fontId="0" fillId="4" borderId="0" xfId="0" applyFill="1"/>
    <xf numFmtId="0" fontId="0" fillId="4" borderId="0" xfId="0" applyFill="1" applyAlignment="1">
      <alignment wrapText="1"/>
    </xf>
    <xf numFmtId="164" fontId="0" fillId="0" borderId="0" xfId="2" applyNumberFormat="1" applyFont="1" applyBorder="1"/>
    <xf numFmtId="0" fontId="0" fillId="0" borderId="3" xfId="0" applyBorder="1"/>
    <xf numFmtId="164" fontId="2" fillId="0" borderId="2" xfId="0" applyNumberFormat="1" applyFont="1" applyBorder="1"/>
    <xf numFmtId="0" fontId="0" fillId="0" borderId="0" xfId="0" applyAlignment="1">
      <alignment vertical="center"/>
    </xf>
    <xf numFmtId="0" fontId="0" fillId="0" borderId="0" xfId="0" applyAlignment="1">
      <alignment wrapText="1"/>
    </xf>
    <xf numFmtId="0" fontId="0" fillId="0" borderId="0" xfId="0" applyAlignment="1">
      <alignment vertical="center" wrapText="1"/>
    </xf>
    <xf numFmtId="0" fontId="0" fillId="0" borderId="4" xfId="0" applyBorder="1" applyAlignment="1">
      <alignment vertical="center"/>
    </xf>
    <xf numFmtId="0" fontId="0" fillId="0" borderId="4" xfId="0" applyBorder="1" applyAlignment="1">
      <alignment vertical="center" wrapText="1"/>
    </xf>
    <xf numFmtId="165" fontId="0" fillId="0" borderId="4" xfId="1" applyNumberFormat="1" applyFont="1" applyBorder="1" applyAlignment="1">
      <alignment vertical="center"/>
    </xf>
    <xf numFmtId="165" fontId="0" fillId="0" borderId="0" xfId="1" applyNumberFormat="1" applyFont="1" applyAlignment="1">
      <alignment vertical="center"/>
    </xf>
    <xf numFmtId="0" fontId="5" fillId="0" borderId="4" xfId="3" applyBorder="1" applyAlignment="1">
      <alignment vertical="center" wrapText="1"/>
    </xf>
    <xf numFmtId="0" fontId="6" fillId="0" borderId="4" xfId="0" applyFont="1" applyBorder="1" applyAlignment="1">
      <alignment horizontal="left" vertical="center"/>
    </xf>
    <xf numFmtId="0" fontId="8" fillId="8" borderId="5" xfId="0" applyFont="1" applyFill="1" applyBorder="1" applyAlignment="1">
      <alignment horizontal="center" vertical="center" wrapText="1"/>
    </xf>
    <xf numFmtId="0" fontId="8" fillId="8" borderId="6" xfId="0" applyFont="1" applyFill="1" applyBorder="1" applyAlignment="1">
      <alignment horizontal="center" vertical="center" wrapText="1"/>
    </xf>
    <xf numFmtId="0" fontId="8" fillId="8" borderId="7" xfId="0" applyFont="1" applyFill="1" applyBorder="1" applyAlignment="1">
      <alignment horizontal="center" vertical="center" wrapText="1"/>
    </xf>
    <xf numFmtId="0" fontId="7" fillId="6" borderId="9" xfId="0" applyFont="1" applyFill="1" applyBorder="1" applyAlignment="1">
      <alignment horizontal="center" vertical="center"/>
    </xf>
    <xf numFmtId="0" fontId="8" fillId="6" borderId="9" xfId="0" applyFont="1" applyFill="1" applyBorder="1" applyAlignment="1">
      <alignment horizontal="center" vertical="center" wrapText="1"/>
    </xf>
    <xf numFmtId="0" fontId="8" fillId="6" borderId="9" xfId="0" applyFont="1" applyFill="1" applyBorder="1" applyAlignment="1">
      <alignment horizontal="center" vertical="center"/>
    </xf>
    <xf numFmtId="0" fontId="0" fillId="0" borderId="10" xfId="0" applyBorder="1" applyAlignment="1">
      <alignment vertical="center"/>
    </xf>
    <xf numFmtId="0" fontId="6" fillId="0" borderId="10" xfId="0" applyFont="1" applyBorder="1" applyAlignment="1">
      <alignment horizontal="left" vertical="center"/>
    </xf>
    <xf numFmtId="165" fontId="0" fillId="0" borderId="10" xfId="1" applyNumberFormat="1" applyFont="1" applyBorder="1" applyAlignment="1">
      <alignment vertical="center"/>
    </xf>
    <xf numFmtId="0" fontId="0" fillId="0" borderId="9" xfId="0" applyBorder="1" applyAlignment="1">
      <alignment vertical="center"/>
    </xf>
    <xf numFmtId="0" fontId="0" fillId="0" borderId="9" xfId="0" applyBorder="1" applyAlignment="1">
      <alignment vertical="center" wrapText="1"/>
    </xf>
    <xf numFmtId="165" fontId="0" fillId="0" borderId="9" xfId="1" applyNumberFormat="1" applyFont="1" applyBorder="1" applyAlignment="1">
      <alignment vertical="center"/>
    </xf>
    <xf numFmtId="0" fontId="0" fillId="0" borderId="1" xfId="0" applyBorder="1" applyAlignment="1">
      <alignment vertical="center"/>
    </xf>
    <xf numFmtId="0" fontId="0" fillId="0" borderId="5" xfId="0" applyBorder="1" applyAlignment="1">
      <alignment vertical="center" wrapText="1"/>
    </xf>
    <xf numFmtId="0" fontId="0" fillId="0" borderId="6" xfId="0" applyBorder="1" applyAlignment="1">
      <alignment vertical="center"/>
    </xf>
    <xf numFmtId="0" fontId="0" fillId="0" borderId="6" xfId="0" applyBorder="1" applyAlignment="1">
      <alignment vertical="center" wrapText="1"/>
    </xf>
    <xf numFmtId="165" fontId="0" fillId="0" borderId="6" xfId="1" applyNumberFormat="1" applyFont="1" applyBorder="1" applyAlignment="1">
      <alignment vertical="center"/>
    </xf>
    <xf numFmtId="165" fontId="0" fillId="0" borderId="7" xfId="1" applyNumberFormat="1" applyFont="1" applyBorder="1" applyAlignment="1">
      <alignment vertical="center"/>
    </xf>
    <xf numFmtId="0" fontId="0" fillId="0" borderId="10" xfId="0" applyBorder="1" applyAlignment="1">
      <alignment vertical="center" wrapText="1"/>
    </xf>
    <xf numFmtId="0" fontId="9" fillId="7" borderId="8" xfId="0" applyFont="1" applyFill="1" applyBorder="1" applyAlignment="1">
      <alignment vertical="center" wrapText="1"/>
    </xf>
    <xf numFmtId="0" fontId="10" fillId="7" borderId="1" xfId="0" applyFont="1" applyFill="1" applyBorder="1" applyAlignment="1">
      <alignment vertical="center"/>
    </xf>
    <xf numFmtId="0" fontId="10" fillId="7" borderId="1" xfId="0" applyFont="1" applyFill="1" applyBorder="1" applyAlignment="1">
      <alignment vertical="center" wrapText="1"/>
    </xf>
    <xf numFmtId="165" fontId="10" fillId="7" borderId="1" xfId="1" applyNumberFormat="1" applyFont="1" applyFill="1" applyBorder="1" applyAlignment="1">
      <alignment vertical="center"/>
    </xf>
    <xf numFmtId="0" fontId="10" fillId="7" borderId="2" xfId="0" applyFont="1" applyFill="1" applyBorder="1" applyAlignment="1">
      <alignment vertical="center"/>
    </xf>
    <xf numFmtId="0" fontId="4" fillId="5" borderId="9" xfId="0" applyFont="1" applyFill="1" applyBorder="1" applyAlignment="1">
      <alignment horizontal="center" vertical="center" wrapText="1"/>
    </xf>
    <xf numFmtId="0" fontId="8" fillId="8" borderId="9" xfId="0" applyFont="1" applyFill="1" applyBorder="1" applyAlignment="1">
      <alignment horizontal="center" vertical="center" wrapText="1"/>
    </xf>
    <xf numFmtId="165" fontId="2" fillId="0" borderId="1" xfId="1" applyNumberFormat="1" applyFont="1" applyBorder="1" applyAlignment="1">
      <alignment vertical="center"/>
    </xf>
    <xf numFmtId="0" fontId="2" fillId="9" borderId="0" xfId="0" applyFont="1" applyFill="1"/>
    <xf numFmtId="0" fontId="0" fillId="9" borderId="0" xfId="0" applyFill="1"/>
    <xf numFmtId="0" fontId="0" fillId="9" borderId="4" xfId="0" applyFill="1" applyBorder="1"/>
    <xf numFmtId="0" fontId="0" fillId="0" borderId="4" xfId="0" applyBorder="1"/>
  </cellXfs>
  <cellStyles count="4">
    <cellStyle name="Comma" xfId="1" builtinId="3"/>
    <cellStyle name="Currency" xfId="2" builtinId="4"/>
    <cellStyle name="Hyperlink" xfId="3" builtinId="8"/>
    <cellStyle name="Normal" xfId="0" builtinId="0"/>
  </cellStyles>
  <dxfs count="13">
    <dxf>
      <border diagonalUp="0" diagonalDown="0">
        <left/>
        <right style="thin">
          <color indexed="64"/>
        </right>
        <top/>
        <bottom/>
        <vertical/>
        <horizontal/>
      </border>
    </dxf>
    <dxf>
      <border outline="0">
        <left style="thin">
          <color indexed="64"/>
        </left>
      </border>
    </dxf>
    <dxf>
      <fill>
        <patternFill patternType="solid">
          <fgColor indexed="64"/>
          <bgColor theme="4" tint="0.79998168889431442"/>
        </patternFill>
      </fill>
    </dxf>
    <dxf>
      <font>
        <b val="0"/>
        <i val="0"/>
        <strike val="0"/>
        <condense val="0"/>
        <extend val="0"/>
        <outline val="0"/>
        <shadow val="0"/>
        <u val="none"/>
        <vertAlign val="baseline"/>
        <sz val="11"/>
        <color theme="1"/>
        <name val="Calibri"/>
        <scheme val="minor"/>
      </font>
      <numFmt numFmtId="164" formatCode="_(&quot;$&quot;* #,##0_);_(&quot;$&quot;* \(#,##0\);_(&quot;$&quot;* &quot;-&quot;??_);_(@_)"/>
      <border diagonalUp="0" diagonalDown="0">
        <left/>
        <right style="thin">
          <color indexed="64"/>
        </right>
        <top/>
        <bottom/>
        <vertical/>
        <horizontal/>
      </border>
    </dxf>
    <dxf>
      <border outline="0">
        <left style="thin">
          <color indexed="64"/>
        </left>
      </border>
    </dxf>
    <dxf>
      <fill>
        <patternFill patternType="solid">
          <fgColor indexed="64"/>
          <bgColor theme="4" tint="0.79998168889431442"/>
        </patternFill>
      </fill>
    </dxf>
    <dxf>
      <font>
        <b val="0"/>
        <i val="0"/>
        <strike val="0"/>
        <condense val="0"/>
        <extend val="0"/>
        <outline val="0"/>
        <shadow val="0"/>
        <u val="none"/>
        <vertAlign val="baseline"/>
        <sz val="11"/>
        <color theme="1"/>
        <name val="Calibri"/>
        <scheme val="minor"/>
      </font>
      <numFmt numFmtId="164" formatCode="_(&quot;$&quot;* #,##0_);_(&quot;$&quot;* \(#,##0\);_(&quot;$&quot;* &quot;-&quot;??_);_(@_)"/>
      <border diagonalUp="0" diagonalDown="0">
        <left/>
        <right style="thin">
          <color indexed="64"/>
        </right>
        <top/>
        <bottom/>
        <vertical/>
        <horizontal/>
      </border>
    </dxf>
    <dxf>
      <border outline="0">
        <left style="thin">
          <color indexed="64"/>
        </left>
      </border>
    </dxf>
    <dxf>
      <fill>
        <patternFill patternType="solid">
          <fgColor indexed="64"/>
          <bgColor theme="4" tint="0.79998168889431442"/>
        </patternFill>
      </fill>
    </dxf>
    <dxf>
      <font>
        <b val="0"/>
        <i val="0"/>
        <strike val="0"/>
        <condense val="0"/>
        <extend val="0"/>
        <outline val="0"/>
        <shadow val="0"/>
        <u val="none"/>
        <vertAlign val="baseline"/>
        <sz val="11"/>
        <color theme="1"/>
        <name val="Calibri"/>
        <scheme val="minor"/>
      </font>
      <numFmt numFmtId="164" formatCode="_(&quot;$&quot;* #,##0_);_(&quot;$&quot;* \(#,##0\);_(&quot;$&quot;* &quot;-&quot;??_);_(@_)"/>
      <border diagonalUp="0" diagonalDown="0">
        <left/>
        <right style="thin">
          <color indexed="64"/>
        </right>
        <top/>
        <bottom/>
        <vertical/>
        <horizontal/>
      </border>
    </dxf>
    <dxf>
      <border outline="0">
        <left style="thin">
          <color indexed="64"/>
        </left>
      </border>
    </dxf>
    <dxf>
      <font>
        <b val="0"/>
        <i val="0"/>
        <strike val="0"/>
        <condense val="0"/>
        <extend val="0"/>
        <outline val="0"/>
        <shadow val="0"/>
        <u val="none"/>
        <vertAlign val="baseline"/>
        <sz val="11"/>
        <color theme="1"/>
        <name val="Calibri"/>
        <scheme val="minor"/>
      </font>
      <numFmt numFmtId="164" formatCode="_(&quot;$&quot;* #,##0_);_(&quot;$&quot;* \(#,##0\);_(&quot;$&quot;* &quot;-&quot;??_);_(@_)"/>
      <border diagonalUp="0" diagonalDown="0">
        <left/>
        <right style="thin">
          <color indexed="64"/>
        </right>
        <top/>
        <bottom/>
        <vertical/>
        <horizontal/>
      </border>
    </dxf>
    <dxf>
      <border outline="0">
        <left style="thin">
          <color indexed="64"/>
        </left>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121119_NSP_AQ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Jennifer%20Wong\Box%20Sync\Programs\Health%20Financing\2.%20HIV%20Financing\NSP%20Revision\Concept%20Note\Consolidated%20back-up%20for%20Travor%20(jwong@clintonhealthaccess.org)\HIV-TB%20JCN%20Financial%20Analysi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NOP"/>
      <sheetName val="Main"/>
      <sheetName val="procurement commodities"/>
      <sheetName val="Services &amp; Maintenance"/>
      <sheetName val="book 3"/>
      <sheetName val="Management and coordination"/>
      <sheetName val="Research and development"/>
      <sheetName val="Communications"/>
      <sheetName val="Distances"/>
      <sheetName val="Transport and Vehicles"/>
      <sheetName val="Salaries"/>
      <sheetName val="Informatic goods"/>
      <sheetName val="Meetings&amp;event planning"/>
      <sheetName val="ASSUMPTIONS COM"/>
      <sheetName val="Current NSP"/>
      <sheetName val="RSSH HIV NSP"/>
      <sheetName val="OLD NSP&gt;&gt;"/>
      <sheetName val="READ FIRST"/>
      <sheetName val="VMMC"/>
      <sheetName val="Prevention 1"/>
      <sheetName val="Prevention"/>
      <sheetName val="Treatment&amp;Care"/>
      <sheetName val="t&amp;c"/>
      <sheetName val="Sheet5"/>
      <sheetName val="Impact Mitigation"/>
      <sheetName val="PM &amp; Coordination"/>
      <sheetName val="HIV GF"/>
      <sheetName val="RSSH GF"/>
      <sheetName val="1 Prev"/>
      <sheetName val="Sheet6"/>
      <sheetName val="Sheet2"/>
      <sheetName val="UID"/>
      <sheetName val="1.1Assumptions"/>
      <sheetName val="1.2Recurrent Costs"/>
      <sheetName val="Sheet4"/>
      <sheetName val="121119_NSP_AQN"/>
    </sheetNames>
    <sheetDataSet>
      <sheetData sheetId="0"/>
      <sheetData sheetId="1" refreshError="1"/>
      <sheetData sheetId="2" refreshError="1"/>
      <sheetData sheetId="3" refreshError="1"/>
      <sheetData sheetId="4" refreshError="1"/>
      <sheetData sheetId="5" refreshError="1"/>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refreshError="1"/>
      <sheetData sheetId="26" refreshError="1"/>
      <sheetData sheetId="27" refreshError="1"/>
      <sheetData sheetId="28" refreshError="1"/>
      <sheetData sheetId="29" refreshError="1"/>
      <sheetData sheetId="30"/>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Allocation Decisions"/>
      <sheetName val="Disease allocation"/>
      <sheetName val="Allocation activity detail"/>
      <sheetName val="Gap"/>
      <sheetName val="Investment Framework Table"/>
      <sheetName val="HSS components-&gt;"/>
      <sheetName val="HRH"/>
      <sheetName val="Supply Chain"/>
      <sheetName val="Labs"/>
      <sheetName val="FM"/>
      <sheetName val="Exhibits for section 2--&gt;"/>
      <sheetName val="2.1.a HIV Program Areas"/>
      <sheetName val="2.1.a HIV Cost Categories"/>
      <sheetName val="2.1.a TB Program Areas"/>
      <sheetName val="2.1.a TB Cost Categories"/>
      <sheetName val="Other RM data"/>
      <sheetName val="RM data pivot"/>
      <sheetName val="Gap back-up data--&gt;"/>
      <sheetName val="TB Gap data"/>
      <sheetName val="HIV NSP"/>
      <sheetName val="HIV RM Data"/>
      <sheetName val="HIV Unit Commodity Gap --&gt;"/>
      <sheetName val="Commodity needs summarized"/>
      <sheetName val="Summary"/>
      <sheetName val="Annex 1a Pharm &amp; Health Product"/>
      <sheetName val="Annex 1b PSM Related costs"/>
      <sheetName val="5A order 2 Cost savings"/>
      <sheetName val="Commodity Categories"/>
      <sheetName val="HIV-TB JCN Financial Analysis"/>
    </sheetNames>
    <definedNames>
      <definedName name="Header1"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12">
          <cell r="D12">
            <v>4.5999999999999999E-2</v>
          </cell>
        </row>
      </sheetData>
      <sheetData sheetId="26"/>
      <sheetData sheetId="27"/>
      <sheetData sheetId="28" refreshError="1"/>
    </sheetDataSet>
  </externalBook>
</externalLink>
</file>

<file path=xl/persons/person.xml><?xml version="1.0" encoding="utf-8"?>
<personList xmlns="http://schemas.microsoft.com/office/spreadsheetml/2018/threadedcomments" xmlns:x="http://schemas.openxmlformats.org/spreadsheetml/2006/main">
  <person displayName="Emilia Connolly" id="{5EDA3863-8903-B74B-B314-0044A29E0C4C}" userId="S::econnolly@pih.org::735e2ea5-5fc7-4224-bc39-b01190b73de6" providerId="AD"/>
  <person displayName="Lalit Sharma" id="{B71846FF-92C1-4B6D-A632-728163AE2F73}" userId="S::lsharma@clintonhealthaccess.org::3f80b53a-7835-49ec-80f0-c0be9994de84"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600D204-C3BD-4643-A07E-5C3536BCCD67}" name="Table4" displayName="Table4" ref="A1:E10" totalsRowShown="0" tableBorderDxfId="12">
  <autoFilter ref="A1:E10" xr:uid="{00000000-0009-0000-0100-000004000000}"/>
  <tableColumns count="5">
    <tableColumn id="1" xr3:uid="{324AFC8E-ED00-3F4D-8623-2AA509318379}" name="20 Bed Emergency Care Unit"/>
    <tableColumn id="2" xr3:uid="{6166916F-42E8-FF4F-8F22-9E0AB6D764F4}" name="m2"/>
    <tableColumn id="3" xr3:uid="{DA623A74-932C-CB4D-9C34-5C9308C0C7CC}" name="$ / m2"/>
    <tableColumn id="4" xr3:uid="{FB901A93-719B-7843-9925-4067A367E731}" name="Column1" dataDxfId="11" dataCellStyle="Currency"/>
    <tableColumn id="5" xr3:uid="{AAABDDE0-1077-6B49-8A3F-928A46199714}" name="Notes"/>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25BFD81-62D8-FA4C-BBD7-DD28BD07EB88}" name="Table6" displayName="Table6" ref="A12:E22" totalsRowShown="0" tableBorderDxfId="10">
  <autoFilter ref="A12:E22" xr:uid="{00000000-0009-0000-0100-000006000000}"/>
  <tableColumns count="5">
    <tableColumn id="1" xr3:uid="{EDB7525D-FEED-AC4E-969E-DA300DEF0F17}" name="10 Bed Short Stay"/>
    <tableColumn id="2" xr3:uid="{9E290D5C-F231-D042-8BBC-5A64E9A135F2}" name="m2"/>
    <tableColumn id="3" xr3:uid="{8FEEF1F7-FC17-B14F-9985-722AE361C8E1}" name="$ / m2"/>
    <tableColumn id="4" xr3:uid="{017EA0C2-73D6-6D49-BAE1-0BC40DCB4063}" name="Column1" dataDxfId="9" dataCellStyle="Currency"/>
    <tableColumn id="5" xr3:uid="{15DA66E2-92B3-2B43-A4D4-4D3EF67172E4}" name="Notes"/>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6F02E44-6440-7C48-82D3-3F6E350CE729}" name="Table10" displayName="Table10" ref="A24:E33" totalsRowShown="0" headerRowDxfId="8" tableBorderDxfId="7">
  <autoFilter ref="A24:E33" xr:uid="{00000000-0009-0000-0100-00000A000000}"/>
  <tableColumns count="5">
    <tableColumn id="1" xr3:uid="{4ED268E3-9865-7843-B459-DF35B205FD72}" name="8 Bed ICU/HDU"/>
    <tableColumn id="2" xr3:uid="{2AAB1A54-D7AB-9340-8729-33CA9AECFD68}" name="m2"/>
    <tableColumn id="3" xr3:uid="{BA2412A8-217E-1F43-95FA-53D68760D751}" name="$ / m2"/>
    <tableColumn id="4" xr3:uid="{5CC33A2A-CC9F-AD42-976F-9E9A381851F9}" name="Column1" dataDxfId="6" dataCellStyle="Currency"/>
    <tableColumn id="5" xr3:uid="{9D45A2CC-C93C-2242-B5C1-DD5378D57E0D}" name="Notes"/>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B053D69-3F57-DD4D-A8A3-4888A41F1B4E}" name="Table11" displayName="Table11" ref="A35:E44" totalsRowShown="0" headerRowDxfId="5" tableBorderDxfId="4">
  <autoFilter ref="A35:E44" xr:uid="{00000000-0009-0000-0100-00000B000000}"/>
  <tableColumns count="5">
    <tableColumn id="1" xr3:uid="{BF8CCA7E-E58A-1A48-97C4-A194C1190BC9}" name="2 Bed Operating Theatre"/>
    <tableColumn id="2" xr3:uid="{D9602E61-3A6E-074A-917A-9FF6B44D26D4}" name="m2"/>
    <tableColumn id="3" xr3:uid="{A78C9BB3-EC65-8E4A-A9CA-F162D7F65AE6}" name="$ / m2"/>
    <tableColumn id="4" xr3:uid="{17B8D85C-7362-EF41-BBC5-D90C686890C4}" name="Column1" dataDxfId="3" dataCellStyle="Currency"/>
    <tableColumn id="5" xr3:uid="{2EF583E4-DEFC-5B46-B8F4-4A57FB5FA0B8}" name="Notes"/>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AA8165CC-D268-6640-B0D0-26DC99958173}" name="Table12" displayName="Table12" ref="A47:E62" totalsRowShown="0" headerRowDxfId="2" tableBorderDxfId="1">
  <autoFilter ref="A47:E62" xr:uid="{00000000-0009-0000-0100-00000C000000}"/>
  <tableColumns count="5">
    <tableColumn id="1" xr3:uid="{38DDB097-8E38-8F4C-8E29-DCB9061B52E7}" name="Other Facility Upgrades and Capital Equipment"/>
    <tableColumn id="2" xr3:uid="{BA118606-3218-7249-8E9D-F451330740D2}" name="Column2"/>
    <tableColumn id="3" xr3:uid="{4ACADE89-7B42-B741-87FF-96980D85E3B7}" name="Column3"/>
    <tableColumn id="4" xr3:uid="{25865DE9-CD48-B146-847B-7ED787EE9F50}" name="Column4" dataDxfId="0"/>
    <tableColumn id="5" xr3:uid="{282BFC12-7E85-EC4B-94D3-310416D32956}" name="Notes"/>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Violet">
      <a:dk1>
        <a:sysClr val="windowText" lastClr="000000"/>
      </a:dk1>
      <a:lt1>
        <a:sysClr val="window" lastClr="FFFFFF"/>
      </a:lt1>
      <a:dk2>
        <a:srgbClr val="373545"/>
      </a:dk2>
      <a:lt2>
        <a:srgbClr val="DCD8DC"/>
      </a:lt2>
      <a:accent1>
        <a:srgbClr val="AD84C6"/>
      </a:accent1>
      <a:accent2>
        <a:srgbClr val="8784C7"/>
      </a:accent2>
      <a:accent3>
        <a:srgbClr val="5D739A"/>
      </a:accent3>
      <a:accent4>
        <a:srgbClr val="6997AF"/>
      </a:accent4>
      <a:accent5>
        <a:srgbClr val="84ACB6"/>
      </a:accent5>
      <a:accent6>
        <a:srgbClr val="6F8183"/>
      </a:accent6>
      <a:hlink>
        <a:srgbClr val="69A020"/>
      </a:hlink>
      <a:folHlink>
        <a:srgbClr val="8C8C8C"/>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G4" dT="2022-08-12T09:31:53.74" personId="{5EDA3863-8903-B74B-B314-0044A29E0C4C}" id="{0F26CC97-8435-9C48-86D2-1AFE7D9EC06C}">
    <text>This seems like a low cost. Guess it depends on the size but don’t want to under cost.</text>
  </threadedComment>
  <threadedComment ref="G4" dT="2022-08-15T08:13:54.20" personId="{B71846FF-92C1-4B6D-A632-728163AE2F73}" id="{F711E950-BF57-4215-B058-6751A7F9DE0C}" parentId="{0F26CC97-8435-9C48-86D2-1AFE7D9EC06C}">
    <text>modified, please review</text>
  </threadedComment>
  <threadedComment ref="G4" dT="2022-08-15T11:38:44.23" personId="{5EDA3863-8903-B74B-B314-0044A29E0C4C}" id="{7F2BEBAA-58CB-6840-BB6A-2CE8D9EDD276}" parentId="{0F26CC97-8435-9C48-86D2-1AFE7D9EC06C}">
    <text>Not sure how you calculated as my reading of this an emergency center at QECh is 600,000,000. I would guess a training center would be 1/2 this and research unit, infectious disease would be the same.</text>
  </threadedComment>
  <threadedComment ref="G5" dT="2022-08-12T09:34:03.74" personId="{5EDA3863-8903-B74B-B314-0044A29E0C4C}" id="{FCED70E8-435D-AF4C-BF21-37DF6364E505}">
    <text>Is is 107,000?? Or 1 million USD? These are much different construction than a lab and a research unit or infectious disease unit would be building a whole new site - like Mercy James. Would need a lot more money. Even  the administration block would need close to a million I would think.</text>
  </threadedComment>
  <threadedComment ref="G5" dT="2022-08-15T08:13:49.39" personId="{B71846FF-92C1-4B6D-A632-728163AE2F73}" id="{F3518463-2AF1-4071-921B-498A3577EB77}" parentId="{FCED70E8-435D-AF4C-BF21-37DF6364E505}">
    <text>modified, please review</text>
  </threadedComment>
  <threadedComment ref="G11" dT="2022-08-12T09:39:06.79" personId="{5EDA3863-8903-B74B-B314-0044A29E0C4C}" id="{8B609006-6A67-FC4C-BD02-13BD5ED0EEDC}">
    <text xml:space="preserve">This cost will be much higher as it will include at least 2-3 theaters, pre and post op areas, equipment and storage, and like an HDU. </text>
  </threadedComment>
  <threadedComment ref="G11" dT="2022-08-15T08:13:39.64" personId="{B71846FF-92C1-4B6D-A632-728163AE2F73}" id="{45354C4E-2841-4236-994E-0CB45D4A701E}" parentId="{8B609006-6A67-FC4C-BD02-13BD5ED0EEDC}">
    <text>modified, please review</text>
  </threadedComment>
  <threadedComment ref="G11" dT="2022-08-15T12:08:49.78" personId="{5EDA3863-8903-B74B-B314-0044A29E0C4C}" id="{2B1CB3F8-1635-C04A-A1CD-66A79C68DDFB}" parentId="{8B609006-6A67-FC4C-BD02-13BD5ED0EEDC}">
    <text>Seems very reasonable to me</text>
  </threadedComment>
  <threadedComment ref="G12" dT="2022-08-12T09:39:29.48" personId="{5EDA3863-8903-B74B-B314-0044A29E0C4C}" id="{158B54EC-4E05-AE49-9B09-537C79CC264D}">
    <text>A unit will be 2 wards, HDU and ICU -will need to increase cost</text>
  </threadedComment>
  <threadedComment ref="G12" dT="2022-08-15T08:13:43.89" personId="{B71846FF-92C1-4B6D-A632-728163AE2F73}" id="{541BCF8B-9471-467B-911F-E8531A68F761}" parentId="{158B54EC-4E05-AE49-9B09-537C79CC264D}">
    <text>modified, please review</text>
  </threadedComment>
  <threadedComment ref="G12" dT="2022-08-15T12:09:00.11" personId="{5EDA3863-8903-B74B-B314-0044A29E0C4C}" id="{F7FA6516-1C6D-3F4E-BD7F-D647BC0C1A47}" parentId="{158B54EC-4E05-AE49-9B09-537C79CC264D}">
    <text>Seems very reasonable to me</text>
  </threadedComment>
  <threadedComment ref="G16" dT="2022-08-12T09:39:54.29" personId="{5EDA3863-8903-B74B-B314-0044A29E0C4C}" id="{C309D0F7-276D-0D45-B38B-ED4B051E76BD}">
    <text>Is this costed right from the ECCS?</text>
  </threadedComment>
  <threadedComment ref="G16" dT="2022-08-15T05:47:25.71" personId="{B71846FF-92C1-4B6D-A632-728163AE2F73}" id="{816EA624-1BC8-4BAC-9534-C7D24C07B26E}" parentId="{C309D0F7-276D-0D45-B38B-ED4B051E76BD}">
    <text>assumed that this will be treated in the emergency unit which is part of ECCS? Let me know if this will be separate in your opinion?</text>
  </threadedComment>
  <threadedComment ref="G16" dT="2022-08-15T12:10:06.87" personId="{5EDA3863-8903-B74B-B314-0044A29E0C4C}" id="{C51E58BB-C2FE-2B4B-A8B4-F3F59776F4F4}" parentId="{C309D0F7-276D-0D45-B38B-ED4B051E76BD}">
    <text>A burns unit is a separate unit from the emergency department and not in the  ECCS currently. I would add in the cost of the infectious disease unit as this cost.</text>
  </threadedComment>
  <threadedComment ref="G17" dT="2022-08-15T12:11:31.93" personId="{5EDA3863-8903-B74B-B314-0044A29E0C4C}" id="{7E91972F-7EA9-B640-9E1C-17F13C20FFBF}">
    <text>A certain reason this is 30%? Will it be that much smaller? Perhaps 50% at least?</text>
  </threadedComment>
  <threadedComment ref="G17" dT="2022-08-15T15:12:14.88" personId="{B71846FF-92C1-4B6D-A632-728163AE2F73}" id="{07D66375-2389-45F8-A282-A7377BB75ACB}" parentId="{7E91972F-7EA9-B640-9E1C-17F13C20FFBF}">
    <text>sure</text>
  </threadedComment>
  <threadedComment ref="G18" dT="2022-08-12T09:43:32.54" personId="{5EDA3863-8903-B74B-B314-0044A29E0C4C}" id="{45FDAA92-9A1D-A04D-AF82-21CA768AF10F}">
    <text>Same as orthopedic center - will need theatres, pre and post op, examination rooms, X-ray, equipment, and a small lab with a few inpatient beds. Will need admin and conference space too.</text>
  </threadedComment>
  <threadedComment ref="G18" dT="2022-08-15T08:13:30.69" personId="{B71846FF-92C1-4B6D-A632-728163AE2F73}" id="{6736C25B-4367-4617-9EDE-07B60DB40A87}" parentId="{45FDAA92-9A1D-A04D-AF82-21CA768AF10F}">
    <text>modified, please review</text>
  </threadedComment>
  <threadedComment ref="G18" dT="2022-08-15T12:12:31.53" personId="{5EDA3863-8903-B74B-B314-0044A29E0C4C}" id="{B4943460-8D1A-D84D-BFC4-F041B9EF22C8}" parentId="{45FDAA92-9A1D-A04D-AF82-21CA768AF10F}">
    <text>Thanks so much - this seems reasonable - the ICU/HDU would be ward beds but don’t think this changes the cost right?</text>
  </threadedComment>
  <threadedComment ref="G18" dT="2022-08-15T15:13:34.43" personId="{B71846FF-92C1-4B6D-A632-728163AE2F73}" id="{1031BBD9-37A2-4771-B512-D27DED344B2D}" parentId="{45FDAA92-9A1D-A04D-AF82-21CA768AF10F}">
    <text>changed but kept only one ward construction</text>
  </threadedComment>
  <threadedComment ref="G22" dT="2022-08-12T09:43:52.48" personId="{5EDA3863-8903-B74B-B314-0044A29E0C4C}" id="{D87248B4-50A0-A14E-9129-693B7B47E417}">
    <text>This was not part of the ECCS, will need to assume the cost here.</text>
  </threadedComment>
  <threadedComment ref="G22" dT="2022-08-15T08:13:24.82" personId="{B71846FF-92C1-4B6D-A632-728163AE2F73}" id="{61E80CAD-5AB9-45BA-B9A8-E8C90099D3E4}" parentId="{D87248B4-50A0-A14E-9129-693B7B47E417}">
    <text>modified, please review</text>
  </threadedComment>
  <threadedComment ref="G22" dT="2022-08-15T12:13:07.65" personId="{5EDA3863-8903-B74B-B314-0044A29E0C4C}" id="{E0314CD4-2013-9641-BAEB-03ED465A0C88}" parentId="{D87248B4-50A0-A14E-9129-693B7B47E417}">
    <text xml:space="preserve">Would use the cost of the emergency unit at 600,000,000 MWK per the article </text>
  </threadedComment>
  <threadedComment ref="G25" dT="2022-08-12T09:44:32.89" personId="{5EDA3863-8903-B74B-B314-0044A29E0C4C}" id="{4E2D8F7D-A21F-9645-8DC2-DD163287A085}">
    <text>This will be operating theatres, pre and post op, recovery area, waiting room, admin spaces. Need more space.</text>
  </threadedComment>
  <threadedComment ref="G25" dT="2022-08-15T08:07:33.49" personId="{B71846FF-92C1-4B6D-A632-728163AE2F73}" id="{25F6E433-0BDE-4304-A3E0-74C258B52C4B}" parentId="{4E2D8F7D-A21F-9645-8DC2-DD163287A085}">
    <text>done, please check</text>
  </threadedComment>
  <threadedComment ref="G25" dT="2022-08-15T12:14:20.95" personId="{5EDA3863-8903-B74B-B314-0044A29E0C4C}" id="{E6A13AFD-FCF7-3E4B-819B-A841337EAF9E}" parentId="{4E2D8F7D-A21F-9645-8DC2-DD163287A085}">
    <text>Just want to make sure this is 20% of “others” and not total right?</text>
  </threadedComment>
  <threadedComment ref="G25" dT="2022-08-15T15:15:20.50" personId="{B71846FF-92C1-4B6D-A632-728163AE2F73}" id="{3C74981B-E31C-4FBA-B8C2-6BBAC9E2E604}" parentId="{4E2D8F7D-A21F-9645-8DC2-DD163287A085}">
    <text>I added 20% of total, seems unreasonable?</text>
  </threadedComment>
  <threadedComment ref="G26" dT="2022-08-12T09:47:32.20" personId="{5EDA3863-8903-B74B-B314-0044A29E0C4C}" id="{0647E1CF-B51A-AB4D-8FE2-1D475171069F}">
    <text>This  would be the same as  the endoscopy unit</text>
  </threadedComment>
  <threadedComment ref="G26" dT="2022-08-15T08:13:11.09" personId="{B71846FF-92C1-4B6D-A632-728163AE2F73}" id="{0C2EF3AA-A958-4B10-9A8F-3055203CAC36}" parentId="{0647E1CF-B51A-AB4D-8FE2-1D475171069F}">
    <text>modified, please review</text>
  </threadedComment>
  <threadedComment ref="G26" dT="2022-08-15T12:14:35.16" personId="{5EDA3863-8903-B74B-B314-0044A29E0C4C}" id="{D9CB849F-0FED-6E4F-82A4-E842D02CF486}" parentId="{0647E1CF-B51A-AB4D-8FE2-1D475171069F}">
    <text>see above</text>
  </threadedComment>
  <threadedComment ref="G27" dT="2022-08-12T13:18:50.54" personId="{5EDA3863-8903-B74B-B314-0044A29E0C4C}" id="{97EFD6D9-6DD7-DB4D-80EE-3F92D20BA7D6}">
    <text>They  would like this at QECH  too - is that costed?</text>
  </threadedComment>
  <threadedComment ref="G27" dT="2022-08-15T08:08:19.95" personId="{B71846FF-92C1-4B6D-A632-728163AE2F73}" id="{C6E5E2F8-8249-446E-B47C-295B5400DB54}" parentId="{97EFD6D9-6DD7-DB4D-80EE-3F92D20BA7D6}">
    <text>modified, please review</text>
  </threadedComment>
  <threadedComment ref="G27" dT="2022-08-15T12:15:00.25" personId="{5EDA3863-8903-B74B-B314-0044A29E0C4C}" id="{98B59F70-EEBC-0043-A137-0FCB837B8685}" parentId="{97EFD6D9-6DD7-DB4D-80EE-3F92D20BA7D6}">
    <text>Seems reasonable</text>
  </threadedComment>
  <threadedComment ref="G28" dT="2022-08-12T09:47:32.20" personId="{5EDA3863-8903-B74B-B314-0044A29E0C4C}" id="{F53E82B4-A1F5-4B35-9617-9B66EBD73E1C}">
    <text>This  would be the same as  the endoscopy unit</text>
  </threadedComment>
  <threadedComment ref="G28" dT="2022-08-15T08:13:04.66" personId="{B71846FF-92C1-4B6D-A632-728163AE2F73}" id="{4ACB4DF6-C4A3-47F4-A612-95BFE7DB0DB7}" parentId="{F53E82B4-A1F5-4B35-9617-9B66EBD73E1C}">
    <text>modified, please review</text>
  </threadedComment>
  <threadedComment ref="G28" dT="2022-08-15T12:15:17.51" personId="{5EDA3863-8903-B74B-B314-0044A29E0C4C}" id="{5D4B433B-ECD1-C242-BC68-6B5857B7D2FB}" parentId="{F53E82B4-A1F5-4B35-9617-9B66EBD73E1C}">
    <text>see my note there but seems reasonable</text>
  </threadedComment>
  <threadedComment ref="G29" dT="2022-08-15T12:18:16.76" personId="{5EDA3863-8903-B74B-B314-0044A29E0C4C}" id="{011AB7D2-D4E4-A948-A0E3-29586280186C}">
    <text>This is likely high - would do the cost of the lab or closer to the 500 million range</text>
  </threadedComment>
  <threadedComment ref="G30" dT="2022-08-12T13:20:44.56" personId="{5EDA3863-8903-B74B-B314-0044A29E0C4C}" id="{137FD00A-4436-F444-8058-936F82B2F14F}">
    <text>This has significant equipment and infrastructure cost - we had included this sort of thing in the ECCS infra- are you doing it here? This requires cost of HDU with additional equipment.</text>
  </threadedComment>
  <threadedComment ref="G30" dT="2022-08-15T08:11:48.90" personId="{B71846FF-92C1-4B6D-A632-728163AE2F73}" id="{E8393A49-D70D-47AA-BFF0-1CE4003C0333}" parentId="{137FD00A-4436-F444-8058-936F82B2F14F}">
    <text>Modified</text>
  </threadedComment>
  <threadedComment ref="G30" dT="2022-08-15T12:17:05.93" personId="{5EDA3863-8903-B74B-B314-0044A29E0C4C}" id="{D8D30A4A-3913-5247-9960-B39AA576E409}" parentId="{137FD00A-4436-F444-8058-936F82B2F14F}">
    <text>I would recommend this lower at the cost of an HDU/ICU - 5 million likely</text>
  </threadedComment>
  <threadedComment ref="G31" dT="2022-08-12T13:19:22.16" personId="{5EDA3863-8903-B74B-B314-0044A29E0C4C}" id="{F1B17D0F-7328-7E49-9D12-EAE704880E04}">
    <text>Not covered in ECCS</text>
  </threadedComment>
  <threadedComment ref="G31" dT="2022-08-15T08:11:56.18" personId="{B71846FF-92C1-4B6D-A632-728163AE2F73}" id="{B6BBF799-158F-435D-A36A-0CD055AFDCEE}" parentId="{F1B17D0F-7328-7E49-9D12-EAE704880E04}">
    <text>Modified</text>
  </threadedComment>
  <threadedComment ref="G31" dT="2022-08-15T12:15:44.37" personId="{5EDA3863-8903-B74B-B314-0044A29E0C4C}" id="{D1614166-DCF3-CD4E-892A-D13ACC08BF9E}" parentId="{F1B17D0F-7328-7E49-9D12-EAE704880E04}">
    <text>I would recommend the 600,000,000 for this.</text>
  </threadedComment>
  <threadedComment ref="G32" dT="2022-08-12T13:19:32.15" personId="{5EDA3863-8903-B74B-B314-0044A29E0C4C}" id="{FF6EEA31-0ECE-1B4E-BC50-FB227EDB8BCD}">
    <text>Not included in ECCS</text>
  </threadedComment>
  <threadedComment ref="G32" dT="2022-08-15T08:12:02.79" personId="{B71846FF-92C1-4B6D-A632-728163AE2F73}" id="{9575F2C6-94BF-4D37-8A9B-43FAB0E0F579}" parentId="{FF6EEA31-0ECE-1B4E-BC50-FB227EDB8BCD}">
    <text>Added cost</text>
  </threadedComment>
  <threadedComment ref="G32" dT="2022-08-15T12:18:32.42" personId="{5EDA3863-8903-B74B-B314-0044A29E0C4C}" id="{F90422DF-21D9-6644-B554-949EEFCDCB0A}" parentId="{FF6EEA31-0ECE-1B4E-BC50-FB227EDB8BCD}">
    <text>seems reasonable</text>
  </threadedComment>
</ThreadedComments>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theatlasmw.com/hitesh-meeta-anadkat-donate-k400m-for-childrens-emergency-ward-construction-at-qech/" TargetMode="External"/><Relationship Id="rId1" Type="http://schemas.openxmlformats.org/officeDocument/2006/relationships/hyperlink" Target="https://www.nyasatimes.com/lecturers-hail-chakwera-for-opening-luanar-administration-building-and-lecture-rooms/" TargetMode="External"/><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51D68F-ACD2-417F-A96F-03AD4CD123EA}">
  <dimension ref="A1:AF37"/>
  <sheetViews>
    <sheetView showGridLines="0" tabSelected="1" zoomScale="85" zoomScaleNormal="85" workbookViewId="0">
      <selection activeCell="R1" sqref="R1"/>
    </sheetView>
  </sheetViews>
  <sheetFormatPr defaultColWidth="8.88671875" defaultRowHeight="14.4" x14ac:dyDescent="0.3"/>
  <cols>
    <col min="1" max="1" width="3.88671875" style="22" customWidth="1"/>
    <col min="2" max="2" width="57.33203125" customWidth="1"/>
    <col min="3" max="3" width="19.6640625" bestFit="1" customWidth="1"/>
    <col min="4" max="4" width="12.44140625" customWidth="1"/>
    <col min="7" max="7" width="42.44140625" customWidth="1"/>
    <col min="8" max="8" width="23.6640625" customWidth="1"/>
    <col min="18" max="18" width="12.88671875" customWidth="1"/>
    <col min="19" max="23" width="15.33203125" bestFit="1" customWidth="1"/>
    <col min="24" max="24" width="13.88671875" bestFit="1" customWidth="1"/>
    <col min="25" max="25" width="14.33203125" bestFit="1" customWidth="1"/>
  </cols>
  <sheetData>
    <row r="1" spans="2:32" x14ac:dyDescent="0.3">
      <c r="B1" s="23"/>
      <c r="C1" s="21"/>
      <c r="D1" s="21"/>
      <c r="E1" s="21"/>
      <c r="F1" s="21"/>
      <c r="G1" s="21"/>
      <c r="H1" s="21"/>
      <c r="I1" s="21"/>
      <c r="J1" s="21"/>
      <c r="K1" s="21"/>
      <c r="L1" s="21"/>
      <c r="M1" s="21"/>
      <c r="N1" s="21"/>
      <c r="O1" s="21"/>
      <c r="P1" s="21"/>
      <c r="Q1" s="21"/>
      <c r="R1" s="30"/>
      <c r="S1" s="31"/>
      <c r="T1" s="31" t="s">
        <v>117</v>
      </c>
      <c r="U1" s="31"/>
      <c r="V1" s="31"/>
      <c r="W1" s="31"/>
      <c r="X1" s="31"/>
      <c r="Y1" s="32"/>
      <c r="Z1" s="57" t="s">
        <v>130</v>
      </c>
      <c r="AA1" s="58"/>
      <c r="AB1" s="58"/>
      <c r="AC1" s="58"/>
      <c r="AD1" s="58"/>
      <c r="AE1" s="58"/>
      <c r="AF1" s="58"/>
    </row>
    <row r="2" spans="2:32" ht="96.6" x14ac:dyDescent="0.3">
      <c r="B2" s="33" t="s">
        <v>106</v>
      </c>
      <c r="C2" s="33" t="s">
        <v>60</v>
      </c>
      <c r="D2" s="34" t="s">
        <v>4</v>
      </c>
      <c r="E2" s="34" t="s">
        <v>61</v>
      </c>
      <c r="F2" s="34" t="s">
        <v>62</v>
      </c>
      <c r="G2" s="35" t="s">
        <v>63</v>
      </c>
      <c r="H2" s="34" t="s">
        <v>97</v>
      </c>
      <c r="I2" s="34" t="s">
        <v>64</v>
      </c>
      <c r="J2" s="54" t="s">
        <v>134</v>
      </c>
      <c r="K2" s="54" t="s">
        <v>135</v>
      </c>
      <c r="L2" s="54" t="s">
        <v>136</v>
      </c>
      <c r="M2" s="54" t="s">
        <v>137</v>
      </c>
      <c r="N2" s="54" t="s">
        <v>138</v>
      </c>
      <c r="O2" s="54" t="s">
        <v>139</v>
      </c>
      <c r="P2" s="54" t="s">
        <v>140</v>
      </c>
      <c r="Q2" s="54" t="s">
        <v>141</v>
      </c>
      <c r="R2" s="55" t="s">
        <v>142</v>
      </c>
      <c r="S2" s="55" t="s">
        <v>143</v>
      </c>
      <c r="T2" s="55" t="s">
        <v>144</v>
      </c>
      <c r="U2" s="55" t="s">
        <v>145</v>
      </c>
      <c r="V2" s="55" t="s">
        <v>146</v>
      </c>
      <c r="W2" s="55" t="s">
        <v>147</v>
      </c>
      <c r="X2" s="55" t="s">
        <v>148</v>
      </c>
      <c r="Y2" s="30" t="s">
        <v>149</v>
      </c>
      <c r="Z2" s="59" t="s">
        <v>124</v>
      </c>
      <c r="AA2" s="59" t="s">
        <v>125</v>
      </c>
      <c r="AB2" s="59" t="s">
        <v>126</v>
      </c>
      <c r="AC2" s="59" t="s">
        <v>127</v>
      </c>
      <c r="AD2" s="59" t="s">
        <v>128</v>
      </c>
      <c r="AE2" s="59" t="s">
        <v>129</v>
      </c>
      <c r="AF2" s="59" t="s">
        <v>60</v>
      </c>
    </row>
    <row r="3" spans="2:32" x14ac:dyDescent="0.3">
      <c r="B3" s="49" t="s">
        <v>116</v>
      </c>
      <c r="C3" s="50"/>
      <c r="D3" s="50"/>
      <c r="E3" s="50"/>
      <c r="F3" s="50"/>
      <c r="G3" s="51"/>
      <c r="H3" s="52"/>
      <c r="I3" s="53"/>
      <c r="J3" s="42"/>
      <c r="K3" s="42"/>
      <c r="L3" s="42"/>
      <c r="M3" s="42"/>
      <c r="N3" s="42"/>
      <c r="O3" s="42"/>
      <c r="P3" s="42"/>
      <c r="Q3" s="42"/>
      <c r="R3" s="56">
        <f>SUM(R4:R18)</f>
        <v>0</v>
      </c>
      <c r="S3" s="56">
        <f t="shared" ref="S3:Y3" si="0">SUM(S4:S18)</f>
        <v>5758971300</v>
      </c>
      <c r="T3" s="56">
        <f t="shared" si="0"/>
        <v>14473721100</v>
      </c>
      <c r="U3" s="56">
        <f t="shared" si="0"/>
        <v>5610381300</v>
      </c>
      <c r="V3" s="56">
        <f t="shared" si="0"/>
        <v>1317898400</v>
      </c>
      <c r="W3" s="56">
        <f t="shared" si="0"/>
        <v>26058670400</v>
      </c>
      <c r="X3" s="56">
        <f t="shared" si="0"/>
        <v>0</v>
      </c>
      <c r="Y3" s="56">
        <f t="shared" si="0"/>
        <v>0</v>
      </c>
      <c r="Z3" s="60">
        <v>3</v>
      </c>
      <c r="AA3" s="60" t="s">
        <v>119</v>
      </c>
      <c r="AB3" s="60">
        <v>3.1</v>
      </c>
      <c r="AC3" s="60" t="s">
        <v>120</v>
      </c>
      <c r="AD3" s="60" t="s">
        <v>123</v>
      </c>
      <c r="AE3" s="60" t="s">
        <v>121</v>
      </c>
      <c r="AF3" s="60" t="s">
        <v>122</v>
      </c>
    </row>
    <row r="4" spans="2:32" ht="16.8" x14ac:dyDescent="0.3">
      <c r="B4" s="36" t="s">
        <v>66</v>
      </c>
      <c r="C4" s="36" t="str">
        <f>"Construct "&amp;B4</f>
        <v>Construct Training centers with simulation equipment for medical students, interns, current staff and consultants to improve skills (KCH, QECH)</v>
      </c>
      <c r="D4" s="36" t="s">
        <v>58</v>
      </c>
      <c r="E4" s="36" t="s">
        <v>65</v>
      </c>
      <c r="F4" s="36" t="s">
        <v>95</v>
      </c>
      <c r="G4" s="37" t="s">
        <v>111</v>
      </c>
      <c r="H4" s="38">
        <f>300000000</f>
        <v>300000000</v>
      </c>
      <c r="I4" s="36">
        <v>1</v>
      </c>
      <c r="J4" s="36"/>
      <c r="K4" s="36" t="s">
        <v>59</v>
      </c>
      <c r="L4" s="36"/>
      <c r="M4" s="36" t="s">
        <v>59</v>
      </c>
      <c r="N4" s="36"/>
      <c r="O4" s="36"/>
      <c r="P4" s="36"/>
      <c r="Q4" s="36"/>
      <c r="R4" s="38" t="str">
        <f>IF(J4="X",$H4*$I4,"")</f>
        <v/>
      </c>
      <c r="S4" s="38">
        <f t="shared" ref="S4:Y4" si="1">IF(K4="X",$H4*$I4,"")</f>
        <v>300000000</v>
      </c>
      <c r="T4" s="38" t="str">
        <f t="shared" si="1"/>
        <v/>
      </c>
      <c r="U4" s="38">
        <f t="shared" si="1"/>
        <v>300000000</v>
      </c>
      <c r="V4" s="38" t="str">
        <f t="shared" si="1"/>
        <v/>
      </c>
      <c r="W4" s="38" t="str">
        <f t="shared" si="1"/>
        <v/>
      </c>
      <c r="X4" s="38" t="str">
        <f t="shared" si="1"/>
        <v/>
      </c>
      <c r="Y4" s="38" t="str">
        <f t="shared" si="1"/>
        <v/>
      </c>
    </row>
    <row r="5" spans="2:32" ht="16.8" x14ac:dyDescent="0.3">
      <c r="B5" s="24" t="s">
        <v>67</v>
      </c>
      <c r="C5" s="24" t="str">
        <f>"Construct "&amp;B5</f>
        <v>Construct Research units (KCH, QECH)</v>
      </c>
      <c r="D5" s="24" t="s">
        <v>58</v>
      </c>
      <c r="E5" s="24" t="s">
        <v>65</v>
      </c>
      <c r="F5" s="24" t="s">
        <v>95</v>
      </c>
      <c r="G5" s="29" t="s">
        <v>111</v>
      </c>
      <c r="H5" s="26">
        <f t="shared" ref="H5:H6" si="2">300000000</f>
        <v>300000000</v>
      </c>
      <c r="I5" s="24">
        <v>1</v>
      </c>
      <c r="J5" s="24"/>
      <c r="K5" s="24"/>
      <c r="L5" s="24" t="s">
        <v>59</v>
      </c>
      <c r="M5" s="24"/>
      <c r="N5" s="24" t="s">
        <v>59</v>
      </c>
      <c r="O5" s="24"/>
      <c r="P5" s="24"/>
      <c r="Q5" s="24"/>
      <c r="R5" s="26" t="str">
        <f t="shared" ref="R5:R37" si="3">IF(J5="X",$H5*$I5,"")</f>
        <v/>
      </c>
      <c r="S5" s="26" t="str">
        <f t="shared" ref="S5:S37" si="4">IF(K5="X",$H5*$I5,"")</f>
        <v/>
      </c>
      <c r="T5" s="26">
        <f t="shared" ref="T5:T37" si="5">IF(L5="X",$H5*$I5,"")</f>
        <v>300000000</v>
      </c>
      <c r="U5" s="26" t="str">
        <f t="shared" ref="U5:U37" si="6">IF(M5="X",$H5*$I5,"")</f>
        <v/>
      </c>
      <c r="V5" s="26">
        <f t="shared" ref="V5:V37" si="7">IF(N5="X",$H5*$I5,"")</f>
        <v>300000000</v>
      </c>
      <c r="W5" s="26" t="str">
        <f t="shared" ref="W5:W37" si="8">IF(O5="X",$H5*$I5,"")</f>
        <v/>
      </c>
      <c r="X5" s="26" t="str">
        <f t="shared" ref="X5:X37" si="9">IF(P5="X",$H5*$I5,"")</f>
        <v/>
      </c>
      <c r="Y5" s="26" t="str">
        <f t="shared" ref="Y5:Y37" si="10">IF(Q5="X",$H5*$I5,"")</f>
        <v/>
      </c>
    </row>
    <row r="6" spans="2:32" ht="16.8" x14ac:dyDescent="0.3">
      <c r="B6" s="24" t="s">
        <v>68</v>
      </c>
      <c r="C6" s="24" t="str">
        <f t="shared" ref="C6:C34" si="11">"Construct "&amp;B6</f>
        <v>Construct Infectious disease unit (KCH, QECH)</v>
      </c>
      <c r="D6" s="24" t="s">
        <v>58</v>
      </c>
      <c r="E6" s="24" t="s">
        <v>65</v>
      </c>
      <c r="F6" s="24" t="s">
        <v>95</v>
      </c>
      <c r="G6" s="29" t="s">
        <v>111</v>
      </c>
      <c r="H6" s="26">
        <f t="shared" si="2"/>
        <v>300000000</v>
      </c>
      <c r="I6" s="24">
        <v>1</v>
      </c>
      <c r="J6" s="24"/>
      <c r="K6" s="24" t="s">
        <v>59</v>
      </c>
      <c r="L6" s="24"/>
      <c r="M6" s="24"/>
      <c r="N6" s="24" t="s">
        <v>59</v>
      </c>
      <c r="O6" s="24"/>
      <c r="P6" s="24"/>
      <c r="Q6" s="24"/>
      <c r="R6" s="26" t="str">
        <f t="shared" si="3"/>
        <v/>
      </c>
      <c r="S6" s="26">
        <f t="shared" si="4"/>
        <v>300000000</v>
      </c>
      <c r="T6" s="26" t="str">
        <f t="shared" si="5"/>
        <v/>
      </c>
      <c r="U6" s="26" t="str">
        <f t="shared" si="6"/>
        <v/>
      </c>
      <c r="V6" s="26">
        <f t="shared" si="7"/>
        <v>300000000</v>
      </c>
      <c r="W6" s="26" t="str">
        <f t="shared" si="8"/>
        <v/>
      </c>
      <c r="X6" s="26" t="str">
        <f t="shared" si="9"/>
        <v/>
      </c>
      <c r="Y6" s="26" t="str">
        <f t="shared" si="10"/>
        <v/>
      </c>
    </row>
    <row r="7" spans="2:32" ht="43.2" x14ac:dyDescent="0.3">
      <c r="B7" s="24" t="s">
        <v>69</v>
      </c>
      <c r="C7" s="24" t="str">
        <f t="shared" si="11"/>
        <v>Construct Administration block (KCH, MCH)</v>
      </c>
      <c r="D7" s="24" t="s">
        <v>58</v>
      </c>
      <c r="E7" s="24" t="s">
        <v>65</v>
      </c>
      <c r="F7" s="24" t="s">
        <v>95</v>
      </c>
      <c r="G7" s="28" t="s">
        <v>107</v>
      </c>
      <c r="H7" s="26">
        <f>12000000*1030</f>
        <v>12360000000</v>
      </c>
      <c r="I7" s="24">
        <v>1</v>
      </c>
      <c r="J7" s="24"/>
      <c r="K7" s="24"/>
      <c r="L7" s="24" t="s">
        <v>59</v>
      </c>
      <c r="M7" s="24"/>
      <c r="N7" s="24"/>
      <c r="O7" s="24" t="s">
        <v>59</v>
      </c>
      <c r="P7" s="24"/>
      <c r="Q7" s="24"/>
      <c r="R7" s="26" t="str">
        <f t="shared" si="3"/>
        <v/>
      </c>
      <c r="S7" s="26" t="str">
        <f t="shared" si="4"/>
        <v/>
      </c>
      <c r="T7" s="26">
        <f t="shared" si="5"/>
        <v>12360000000</v>
      </c>
      <c r="U7" s="26" t="str">
        <f t="shared" si="6"/>
        <v/>
      </c>
      <c r="V7" s="26" t="str">
        <f t="shared" si="7"/>
        <v/>
      </c>
      <c r="W7" s="26">
        <f t="shared" si="8"/>
        <v>12360000000</v>
      </c>
      <c r="X7" s="26" t="str">
        <f t="shared" si="9"/>
        <v/>
      </c>
      <c r="Y7" s="26" t="str">
        <f t="shared" si="10"/>
        <v/>
      </c>
    </row>
    <row r="8" spans="2:32" x14ac:dyDescent="0.3">
      <c r="B8" s="24" t="s">
        <v>70</v>
      </c>
      <c r="C8" s="24" t="str">
        <f t="shared" si="11"/>
        <v>Construct Staff houses (KCH)</v>
      </c>
      <c r="D8" s="24" t="s">
        <v>58</v>
      </c>
      <c r="E8" s="24"/>
      <c r="F8" s="24"/>
      <c r="G8" s="25" t="s">
        <v>96</v>
      </c>
      <c r="H8" s="26">
        <v>0</v>
      </c>
      <c r="I8" s="24">
        <v>0</v>
      </c>
      <c r="J8" s="24"/>
      <c r="K8" s="24"/>
      <c r="L8" s="24"/>
      <c r="M8" s="24"/>
      <c r="N8" s="24"/>
      <c r="O8" s="24"/>
      <c r="P8" s="24"/>
      <c r="Q8" s="24"/>
      <c r="R8" s="26" t="str">
        <f t="shared" si="3"/>
        <v/>
      </c>
      <c r="S8" s="26" t="str">
        <f t="shared" si="4"/>
        <v/>
      </c>
      <c r="T8" s="26" t="str">
        <f t="shared" si="5"/>
        <v/>
      </c>
      <c r="U8" s="26" t="str">
        <f t="shared" si="6"/>
        <v/>
      </c>
      <c r="V8" s="26" t="str">
        <f t="shared" si="7"/>
        <v/>
      </c>
      <c r="W8" s="26" t="str">
        <f t="shared" si="8"/>
        <v/>
      </c>
      <c r="X8" s="26" t="str">
        <f t="shared" si="9"/>
        <v/>
      </c>
      <c r="Y8" s="26" t="str">
        <f t="shared" si="10"/>
        <v/>
      </c>
    </row>
    <row r="9" spans="2:32" ht="57.6" x14ac:dyDescent="0.3">
      <c r="B9" s="24" t="s">
        <v>71</v>
      </c>
      <c r="C9" s="24" t="str">
        <f t="shared" si="11"/>
        <v>Construct Paying wings (KCH, QECH, MCH)</v>
      </c>
      <c r="D9" s="24" t="s">
        <v>58</v>
      </c>
      <c r="E9" s="24"/>
      <c r="F9" s="24"/>
      <c r="G9" s="25" t="s">
        <v>102</v>
      </c>
      <c r="H9" s="26">
        <f>16695700*0.3*1030</f>
        <v>5158971300</v>
      </c>
      <c r="I9" s="24">
        <v>1</v>
      </c>
      <c r="J9" s="24"/>
      <c r="K9" s="24" t="s">
        <v>59</v>
      </c>
      <c r="L9" s="24"/>
      <c r="M9" s="24" t="s">
        <v>59</v>
      </c>
      <c r="N9" s="24"/>
      <c r="O9" s="24" t="s">
        <v>59</v>
      </c>
      <c r="P9" s="24"/>
      <c r="Q9" s="24"/>
      <c r="R9" s="26" t="str">
        <f t="shared" si="3"/>
        <v/>
      </c>
      <c r="S9" s="26">
        <f t="shared" si="4"/>
        <v>5158971300</v>
      </c>
      <c r="T9" s="26" t="str">
        <f t="shared" si="5"/>
        <v/>
      </c>
      <c r="U9" s="26">
        <f t="shared" si="6"/>
        <v>5158971300</v>
      </c>
      <c r="V9" s="26" t="str">
        <f t="shared" si="7"/>
        <v/>
      </c>
      <c r="W9" s="26">
        <f t="shared" si="8"/>
        <v>5158971300</v>
      </c>
      <c r="X9" s="26" t="str">
        <f t="shared" si="9"/>
        <v/>
      </c>
      <c r="Y9" s="26" t="str">
        <f t="shared" si="10"/>
        <v/>
      </c>
    </row>
    <row r="10" spans="2:32" ht="43.2" x14ac:dyDescent="0.3">
      <c r="B10" s="24" t="s">
        <v>72</v>
      </c>
      <c r="C10" s="24" t="str">
        <f t="shared" si="11"/>
        <v>Construct Gynecology ward (MCH)</v>
      </c>
      <c r="D10" s="24" t="s">
        <v>58</v>
      </c>
      <c r="E10" s="24"/>
      <c r="F10" s="24"/>
      <c r="G10" s="28" t="s">
        <v>108</v>
      </c>
      <c r="H10" s="26">
        <f>600000000</f>
        <v>600000000</v>
      </c>
      <c r="I10" s="24">
        <v>1</v>
      </c>
      <c r="J10" s="24"/>
      <c r="K10" s="24"/>
      <c r="L10" s="24" t="s">
        <v>59</v>
      </c>
      <c r="M10" s="24"/>
      <c r="N10" s="24"/>
      <c r="O10" s="24"/>
      <c r="P10" s="24"/>
      <c r="Q10" s="24"/>
      <c r="R10" s="26" t="str">
        <f t="shared" si="3"/>
        <v/>
      </c>
      <c r="S10" s="26" t="str">
        <f t="shared" si="4"/>
        <v/>
      </c>
      <c r="T10" s="26">
        <f t="shared" si="5"/>
        <v>600000000</v>
      </c>
      <c r="U10" s="26" t="str">
        <f t="shared" si="6"/>
        <v/>
      </c>
      <c r="V10" s="26" t="str">
        <f t="shared" si="7"/>
        <v/>
      </c>
      <c r="W10" s="26" t="str">
        <f t="shared" si="8"/>
        <v/>
      </c>
      <c r="X10" s="26" t="str">
        <f t="shared" si="9"/>
        <v/>
      </c>
      <c r="Y10" s="26" t="str">
        <f t="shared" si="10"/>
        <v/>
      </c>
    </row>
    <row r="11" spans="2:32" ht="43.2" x14ac:dyDescent="0.3">
      <c r="B11" s="24" t="s">
        <v>73</v>
      </c>
      <c r="C11" s="24" t="str">
        <f t="shared" si="11"/>
        <v>Construct Orthopedic Center (MCH)</v>
      </c>
      <c r="D11" s="24" t="s">
        <v>58</v>
      </c>
      <c r="E11" s="24"/>
      <c r="F11" s="24"/>
      <c r="G11" s="25" t="s">
        <v>109</v>
      </c>
      <c r="H11" s="26">
        <f>(262400+207900+262400+200*500)*1.1*1030</f>
        <v>943449100.00000012</v>
      </c>
      <c r="I11" s="24">
        <v>1</v>
      </c>
      <c r="J11" s="24"/>
      <c r="K11" s="24"/>
      <c r="L11" s="24"/>
      <c r="M11" s="24"/>
      <c r="N11" s="24"/>
      <c r="O11" s="24" t="s">
        <v>59</v>
      </c>
      <c r="P11" s="24"/>
      <c r="Q11" s="24"/>
      <c r="R11" s="26" t="str">
        <f t="shared" si="3"/>
        <v/>
      </c>
      <c r="S11" s="26" t="str">
        <f t="shared" si="4"/>
        <v/>
      </c>
      <c r="T11" s="26" t="str">
        <f t="shared" si="5"/>
        <v/>
      </c>
      <c r="U11" s="26" t="str">
        <f t="shared" si="6"/>
        <v/>
      </c>
      <c r="V11" s="26" t="str">
        <f t="shared" si="7"/>
        <v/>
      </c>
      <c r="W11" s="26">
        <f t="shared" si="8"/>
        <v>943449100.00000012</v>
      </c>
      <c r="X11" s="26" t="str">
        <f t="shared" si="9"/>
        <v/>
      </c>
      <c r="Y11" s="26" t="str">
        <f t="shared" si="10"/>
        <v/>
      </c>
    </row>
    <row r="12" spans="2:32" ht="43.2" x14ac:dyDescent="0.3">
      <c r="B12" s="24" t="s">
        <v>74</v>
      </c>
      <c r="C12" s="24" t="str">
        <f t="shared" si="11"/>
        <v>Construct Pediatric Unit (MCH)</v>
      </c>
      <c r="D12" s="24" t="s">
        <v>58</v>
      </c>
      <c r="E12" s="24"/>
      <c r="F12" s="24"/>
      <c r="G12" s="25" t="s">
        <v>109</v>
      </c>
      <c r="H12" s="26">
        <f>(262400+207900+262400+200*500)*1.1*1030</f>
        <v>943449100.00000012</v>
      </c>
      <c r="I12" s="24">
        <v>1</v>
      </c>
      <c r="J12" s="24"/>
      <c r="K12" s="24"/>
      <c r="L12" s="24" t="s">
        <v>59</v>
      </c>
      <c r="M12" s="24"/>
      <c r="N12" s="24"/>
      <c r="O12" s="24"/>
      <c r="P12" s="24"/>
      <c r="Q12" s="24"/>
      <c r="R12" s="26" t="str">
        <f t="shared" si="3"/>
        <v/>
      </c>
      <c r="S12" s="26" t="str">
        <f t="shared" si="4"/>
        <v/>
      </c>
      <c r="T12" s="26">
        <f t="shared" si="5"/>
        <v>943449100.00000012</v>
      </c>
      <c r="U12" s="26" t="str">
        <f t="shared" si="6"/>
        <v/>
      </c>
      <c r="V12" s="26" t="str">
        <f t="shared" si="7"/>
        <v/>
      </c>
      <c r="W12" s="26" t="str">
        <f t="shared" si="8"/>
        <v/>
      </c>
      <c r="X12" s="26" t="str">
        <f t="shared" si="9"/>
        <v/>
      </c>
      <c r="Y12" s="26" t="str">
        <f t="shared" si="10"/>
        <v/>
      </c>
    </row>
    <row r="13" spans="2:32" ht="28.8" x14ac:dyDescent="0.3">
      <c r="B13" s="24" t="s">
        <v>75</v>
      </c>
      <c r="C13" s="24" t="str">
        <f t="shared" si="11"/>
        <v>Construct Private theatre (MCH)</v>
      </c>
      <c r="D13" s="24" t="s">
        <v>58</v>
      </c>
      <c r="E13" s="24"/>
      <c r="F13" s="24"/>
      <c r="G13" s="25" t="s">
        <v>99</v>
      </c>
      <c r="H13" s="26">
        <f>262400*1030</f>
        <v>270272000</v>
      </c>
      <c r="I13" s="24">
        <v>1</v>
      </c>
      <c r="J13" s="24"/>
      <c r="K13" s="24"/>
      <c r="L13" s="24" t="s">
        <v>59</v>
      </c>
      <c r="M13" s="24"/>
      <c r="N13" s="24"/>
      <c r="O13" s="24"/>
      <c r="P13" s="24"/>
      <c r="Q13" s="24"/>
      <c r="R13" s="26" t="str">
        <f t="shared" si="3"/>
        <v/>
      </c>
      <c r="S13" s="26" t="str">
        <f t="shared" si="4"/>
        <v/>
      </c>
      <c r="T13" s="26">
        <f t="shared" si="5"/>
        <v>270272000</v>
      </c>
      <c r="U13" s="26" t="str">
        <f t="shared" si="6"/>
        <v/>
      </c>
      <c r="V13" s="26" t="str">
        <f t="shared" si="7"/>
        <v/>
      </c>
      <c r="W13" s="26" t="str">
        <f t="shared" si="8"/>
        <v/>
      </c>
      <c r="X13" s="26" t="str">
        <f t="shared" si="9"/>
        <v/>
      </c>
      <c r="Y13" s="26" t="str">
        <f t="shared" si="10"/>
        <v/>
      </c>
    </row>
    <row r="14" spans="2:32" x14ac:dyDescent="0.3">
      <c r="B14" s="24" t="s">
        <v>76</v>
      </c>
      <c r="C14" s="24" t="str">
        <f t="shared" si="11"/>
        <v>Construct OPD (paying MCH)</v>
      </c>
      <c r="D14" s="24" t="s">
        <v>58</v>
      </c>
      <c r="E14" s="24"/>
      <c r="F14" s="24"/>
      <c r="G14" s="25" t="s">
        <v>98</v>
      </c>
      <c r="H14" s="26">
        <f>147000*1030</f>
        <v>151410000</v>
      </c>
      <c r="I14" s="24">
        <v>1</v>
      </c>
      <c r="J14" s="24"/>
      <c r="K14" s="24"/>
      <c r="L14" s="24"/>
      <c r="M14" s="24" t="s">
        <v>59</v>
      </c>
      <c r="N14" s="24"/>
      <c r="O14" s="24"/>
      <c r="P14" s="24"/>
      <c r="Q14" s="24"/>
      <c r="R14" s="26" t="str">
        <f t="shared" si="3"/>
        <v/>
      </c>
      <c r="S14" s="26" t="str">
        <f t="shared" si="4"/>
        <v/>
      </c>
      <c r="T14" s="26" t="str">
        <f t="shared" si="5"/>
        <v/>
      </c>
      <c r="U14" s="26">
        <f t="shared" si="6"/>
        <v>151410000</v>
      </c>
      <c r="V14" s="26" t="str">
        <f t="shared" si="7"/>
        <v/>
      </c>
      <c r="W14" s="26" t="str">
        <f t="shared" si="8"/>
        <v/>
      </c>
      <c r="X14" s="26" t="str">
        <f t="shared" si="9"/>
        <v/>
      </c>
      <c r="Y14" s="26" t="str">
        <f t="shared" si="10"/>
        <v/>
      </c>
    </row>
    <row r="15" spans="2:32" x14ac:dyDescent="0.3">
      <c r="B15" s="24" t="s">
        <v>77</v>
      </c>
      <c r="C15" s="24" t="str">
        <f t="shared" si="11"/>
        <v>Construct One Stop Centre (MCH)</v>
      </c>
      <c r="D15" s="24" t="s">
        <v>58</v>
      </c>
      <c r="E15" s="24"/>
      <c r="F15" s="24"/>
      <c r="G15" s="25" t="s">
        <v>100</v>
      </c>
      <c r="H15" s="26">
        <v>10000000</v>
      </c>
      <c r="I15" s="24">
        <v>1</v>
      </c>
      <c r="J15" s="24"/>
      <c r="K15" s="24"/>
      <c r="L15" s="24"/>
      <c r="M15" s="24"/>
      <c r="N15" s="24" t="s">
        <v>59</v>
      </c>
      <c r="O15" s="24"/>
      <c r="P15" s="24"/>
      <c r="Q15" s="24"/>
      <c r="R15" s="26" t="str">
        <f t="shared" si="3"/>
        <v/>
      </c>
      <c r="S15" s="26" t="str">
        <f t="shared" si="4"/>
        <v/>
      </c>
      <c r="T15" s="26" t="str">
        <f t="shared" si="5"/>
        <v/>
      </c>
      <c r="U15" s="26" t="str">
        <f t="shared" si="6"/>
        <v/>
      </c>
      <c r="V15" s="26">
        <f t="shared" si="7"/>
        <v>10000000</v>
      </c>
      <c r="W15" s="26" t="str">
        <f t="shared" si="8"/>
        <v/>
      </c>
      <c r="X15" s="26" t="str">
        <f t="shared" si="9"/>
        <v/>
      </c>
      <c r="Y15" s="26" t="str">
        <f t="shared" si="10"/>
        <v/>
      </c>
    </row>
    <row r="16" spans="2:32" ht="57.6" x14ac:dyDescent="0.3">
      <c r="B16" s="24" t="s">
        <v>78</v>
      </c>
      <c r="C16" s="24" t="str">
        <f t="shared" si="11"/>
        <v>Construct Burns unit (Mzuzu)</v>
      </c>
      <c r="D16" s="24" t="s">
        <v>58</v>
      </c>
      <c r="E16" s="24"/>
      <c r="F16" s="24"/>
      <c r="G16" s="25" t="s">
        <v>111</v>
      </c>
      <c r="H16" s="26">
        <f>300000*1*1030</f>
        <v>309000000</v>
      </c>
      <c r="I16" s="24">
        <v>0</v>
      </c>
      <c r="J16" s="24"/>
      <c r="K16" s="24"/>
      <c r="L16" s="24"/>
      <c r="M16" s="24"/>
      <c r="N16" s="24"/>
      <c r="O16" s="24"/>
      <c r="P16" s="24"/>
      <c r="Q16" s="24"/>
      <c r="R16" s="26" t="str">
        <f t="shared" si="3"/>
        <v/>
      </c>
      <c r="S16" s="26" t="str">
        <f t="shared" si="4"/>
        <v/>
      </c>
      <c r="T16" s="26" t="str">
        <f t="shared" si="5"/>
        <v/>
      </c>
      <c r="U16" s="26" t="str">
        <f t="shared" si="6"/>
        <v/>
      </c>
      <c r="V16" s="26" t="str">
        <f t="shared" si="7"/>
        <v/>
      </c>
      <c r="W16" s="26" t="str">
        <f t="shared" si="8"/>
        <v/>
      </c>
      <c r="X16" s="26" t="str">
        <f t="shared" si="9"/>
        <v/>
      </c>
      <c r="Y16" s="26" t="str">
        <f t="shared" si="10"/>
        <v/>
      </c>
    </row>
    <row r="17" spans="2:32" ht="28.8" x14ac:dyDescent="0.3">
      <c r="B17" s="24" t="s">
        <v>79</v>
      </c>
      <c r="C17" s="24" t="str">
        <f t="shared" si="11"/>
        <v>Construct Oncology unit (Mzuzu)</v>
      </c>
      <c r="D17" s="24" t="s">
        <v>58</v>
      </c>
      <c r="E17" s="24"/>
      <c r="F17" s="24"/>
      <c r="G17" s="25" t="s">
        <v>101</v>
      </c>
      <c r="H17" s="26">
        <f>14750000*1030*50%</f>
        <v>7596250000</v>
      </c>
      <c r="I17" s="24">
        <v>1</v>
      </c>
      <c r="J17" s="24"/>
      <c r="K17" s="24"/>
      <c r="L17" s="24"/>
      <c r="M17" s="24"/>
      <c r="N17" s="24"/>
      <c r="O17" s="24" t="s">
        <v>59</v>
      </c>
      <c r="P17" s="24"/>
      <c r="Q17" s="24"/>
      <c r="R17" s="26" t="str">
        <f t="shared" si="3"/>
        <v/>
      </c>
      <c r="S17" s="26" t="str">
        <f t="shared" si="4"/>
        <v/>
      </c>
      <c r="T17" s="26" t="str">
        <f t="shared" si="5"/>
        <v/>
      </c>
      <c r="U17" s="26" t="str">
        <f t="shared" si="6"/>
        <v/>
      </c>
      <c r="V17" s="26" t="str">
        <f t="shared" si="7"/>
        <v/>
      </c>
      <c r="W17" s="26">
        <f t="shared" si="8"/>
        <v>7596250000</v>
      </c>
      <c r="X17" s="26" t="str">
        <f t="shared" si="9"/>
        <v/>
      </c>
      <c r="Y17" s="26" t="str">
        <f t="shared" si="10"/>
        <v/>
      </c>
    </row>
    <row r="18" spans="2:32" ht="43.2" x14ac:dyDescent="0.3">
      <c r="B18" s="39" t="s">
        <v>80</v>
      </c>
      <c r="C18" s="39" t="str">
        <f t="shared" si="11"/>
        <v>Construct Dental unit/ward (Mzuzu, KCH)</v>
      </c>
      <c r="D18" s="39" t="s">
        <v>58</v>
      </c>
      <c r="E18" s="39"/>
      <c r="F18" s="39"/>
      <c r="G18" s="40" t="s">
        <v>112</v>
      </c>
      <c r="H18" s="41">
        <f>(262400+262400+200*500)*1.1*1030</f>
        <v>707898400</v>
      </c>
      <c r="I18" s="39">
        <v>1</v>
      </c>
      <c r="J18" s="39"/>
      <c r="K18" s="39"/>
      <c r="L18" s="39"/>
      <c r="M18" s="39"/>
      <c r="N18" s="39" t="s">
        <v>59</v>
      </c>
      <c r="O18" s="39"/>
      <c r="P18" s="39"/>
      <c r="Q18" s="39"/>
      <c r="R18" s="41" t="str">
        <f t="shared" si="3"/>
        <v/>
      </c>
      <c r="S18" s="41" t="str">
        <f t="shared" si="4"/>
        <v/>
      </c>
      <c r="T18" s="41" t="str">
        <f t="shared" si="5"/>
        <v/>
      </c>
      <c r="U18" s="41" t="str">
        <f t="shared" si="6"/>
        <v/>
      </c>
      <c r="V18" s="41">
        <f t="shared" si="7"/>
        <v>707898400</v>
      </c>
      <c r="W18" s="41" t="str">
        <f t="shared" si="8"/>
        <v/>
      </c>
      <c r="X18" s="41" t="str">
        <f t="shared" si="9"/>
        <v/>
      </c>
      <c r="Y18" s="41" t="str">
        <f t="shared" si="10"/>
        <v/>
      </c>
    </row>
    <row r="19" spans="2:32" x14ac:dyDescent="0.3">
      <c r="B19" s="43"/>
      <c r="C19" s="44"/>
      <c r="D19" s="44"/>
      <c r="E19" s="44"/>
      <c r="F19" s="44"/>
      <c r="G19" s="45"/>
      <c r="H19" s="46"/>
      <c r="I19" s="44"/>
      <c r="J19" s="44"/>
      <c r="K19" s="44"/>
      <c r="L19" s="44"/>
      <c r="M19" s="44"/>
      <c r="N19" s="44"/>
      <c r="O19" s="44"/>
      <c r="P19" s="44"/>
      <c r="Q19" s="44"/>
      <c r="R19" s="46"/>
      <c r="S19" s="46"/>
      <c r="T19" s="46"/>
      <c r="U19" s="46"/>
      <c r="V19" s="46"/>
      <c r="W19" s="46"/>
      <c r="X19" s="46"/>
      <c r="Y19" s="47"/>
    </row>
    <row r="20" spans="2:32" x14ac:dyDescent="0.3">
      <c r="B20" s="49" t="s">
        <v>118</v>
      </c>
      <c r="C20" s="50"/>
      <c r="D20" s="50"/>
      <c r="E20" s="50"/>
      <c r="F20" s="50"/>
      <c r="G20" s="51"/>
      <c r="H20" s="52"/>
      <c r="I20" s="53"/>
      <c r="J20" s="42"/>
      <c r="K20" s="42"/>
      <c r="L20" s="42"/>
      <c r="M20" s="42"/>
      <c r="N20" s="42"/>
      <c r="O20" s="42"/>
      <c r="P20" s="42"/>
      <c r="Q20" s="42"/>
      <c r="R20" s="56">
        <f>SUM(R21:R34)</f>
        <v>0</v>
      </c>
      <c r="S20" s="56">
        <f t="shared" ref="S20:Y20" si="12">SUM(S21:S34)</f>
        <v>0</v>
      </c>
      <c r="T20" s="56">
        <f t="shared" si="12"/>
        <v>1477699800</v>
      </c>
      <c r="U20" s="56">
        <f t="shared" si="12"/>
        <v>6544505600</v>
      </c>
      <c r="V20" s="56">
        <f>SUM(V21:V34)</f>
        <v>8179955400</v>
      </c>
      <c r="W20" s="56">
        <f t="shared" si="12"/>
        <v>6477699800</v>
      </c>
      <c r="X20" s="56">
        <f t="shared" si="12"/>
        <v>7249952600</v>
      </c>
      <c r="Y20" s="56">
        <f t="shared" si="12"/>
        <v>6372252800</v>
      </c>
      <c r="Z20" s="60">
        <v>3</v>
      </c>
      <c r="AA20" s="60" t="s">
        <v>119</v>
      </c>
      <c r="AB20" s="60">
        <v>3.1</v>
      </c>
      <c r="AC20" s="60" t="s">
        <v>120</v>
      </c>
      <c r="AD20" s="60" t="s">
        <v>133</v>
      </c>
      <c r="AE20" s="60" t="s">
        <v>131</v>
      </c>
      <c r="AF20" s="60" t="s">
        <v>132</v>
      </c>
    </row>
    <row r="21" spans="2:32" ht="28.8" x14ac:dyDescent="0.3">
      <c r="B21" s="48" t="s">
        <v>81</v>
      </c>
      <c r="C21" s="36" t="str">
        <f t="shared" si="11"/>
        <v>Construct Intensive Care Units (ICUs) – adult and pediatric medical and surgical; eventually specific ICUs such as neurosurgical, cardiac</v>
      </c>
      <c r="D21" s="36" t="s">
        <v>58</v>
      </c>
      <c r="E21" s="36"/>
      <c r="F21" s="36"/>
      <c r="G21" s="48" t="s">
        <v>103</v>
      </c>
      <c r="H21" s="38"/>
      <c r="I21" s="36"/>
      <c r="J21" s="36"/>
      <c r="K21" s="36"/>
      <c r="L21" s="36"/>
      <c r="M21" s="36"/>
      <c r="N21" s="36"/>
      <c r="O21" s="36"/>
      <c r="P21" s="36"/>
      <c r="Q21" s="36"/>
      <c r="R21" s="38" t="str">
        <f t="shared" si="3"/>
        <v/>
      </c>
      <c r="S21" s="38" t="str">
        <f t="shared" si="4"/>
        <v/>
      </c>
      <c r="T21" s="38" t="str">
        <f t="shared" si="5"/>
        <v/>
      </c>
      <c r="U21" s="38" t="str">
        <f t="shared" si="6"/>
        <v/>
      </c>
      <c r="V21" s="38" t="str">
        <f t="shared" si="7"/>
        <v/>
      </c>
      <c r="W21" s="38" t="str">
        <f t="shared" si="8"/>
        <v/>
      </c>
      <c r="X21" s="38" t="str">
        <f t="shared" si="9"/>
        <v/>
      </c>
      <c r="Y21" s="38" t="str">
        <f t="shared" si="10"/>
        <v/>
      </c>
    </row>
    <row r="22" spans="2:32" ht="57.6" x14ac:dyDescent="0.3">
      <c r="B22" s="25" t="s">
        <v>82</v>
      </c>
      <c r="C22" s="24" t="str">
        <f t="shared" si="11"/>
        <v>Construct Neonatal Intensive Care Units (NICU) – availability of ventilation and hypoxic ischemic encephalopathy head and body cooling (mainly Zomba, Mzuzu)</v>
      </c>
      <c r="D22" s="24" t="s">
        <v>58</v>
      </c>
      <c r="E22" s="24"/>
      <c r="F22" s="24"/>
      <c r="G22" s="25" t="s">
        <v>111</v>
      </c>
      <c r="H22" s="26">
        <f>600000000</f>
        <v>600000000</v>
      </c>
      <c r="I22" s="24">
        <v>1</v>
      </c>
      <c r="J22" s="24"/>
      <c r="K22" s="24"/>
      <c r="L22" s="24"/>
      <c r="M22" s="24"/>
      <c r="N22" s="24" t="s">
        <v>59</v>
      </c>
      <c r="O22" s="24"/>
      <c r="P22" s="24"/>
      <c r="Q22" s="24" t="s">
        <v>59</v>
      </c>
      <c r="R22" s="26" t="str">
        <f t="shared" si="3"/>
        <v/>
      </c>
      <c r="S22" s="26" t="str">
        <f t="shared" si="4"/>
        <v/>
      </c>
      <c r="T22" s="26" t="str">
        <f t="shared" si="5"/>
        <v/>
      </c>
      <c r="U22" s="26" t="str">
        <f t="shared" si="6"/>
        <v/>
      </c>
      <c r="V22" s="26">
        <f t="shared" si="7"/>
        <v>600000000</v>
      </c>
      <c r="W22" s="26" t="str">
        <f t="shared" si="8"/>
        <v/>
      </c>
      <c r="X22" s="26" t="str">
        <f t="shared" si="9"/>
        <v/>
      </c>
      <c r="Y22" s="26">
        <f t="shared" si="10"/>
        <v>600000000</v>
      </c>
    </row>
    <row r="23" spans="2:32" ht="28.8" x14ac:dyDescent="0.3">
      <c r="B23" s="25" t="s">
        <v>83</v>
      </c>
      <c r="C23" s="24" t="str">
        <f t="shared" si="11"/>
        <v>Construct HDUs for male, female, pediatrics, neonatal, maternal and other specialty (all)</v>
      </c>
      <c r="D23" s="24" t="s">
        <v>58</v>
      </c>
      <c r="E23" s="24"/>
      <c r="F23" s="24"/>
      <c r="G23" s="25" t="s">
        <v>103</v>
      </c>
      <c r="H23" s="26"/>
      <c r="I23" s="24">
        <v>1</v>
      </c>
      <c r="J23" s="24"/>
      <c r="K23" s="24"/>
      <c r="L23" s="24"/>
      <c r="M23" s="24"/>
      <c r="N23" s="24" t="s">
        <v>59</v>
      </c>
      <c r="O23" s="24"/>
      <c r="P23" s="24"/>
      <c r="Q23" s="24"/>
      <c r="R23" s="26" t="str">
        <f t="shared" si="3"/>
        <v/>
      </c>
      <c r="S23" s="26" t="str">
        <f t="shared" si="4"/>
        <v/>
      </c>
      <c r="T23" s="26" t="str">
        <f t="shared" si="5"/>
        <v/>
      </c>
      <c r="U23" s="26" t="str">
        <f t="shared" si="6"/>
        <v/>
      </c>
      <c r="V23" s="26">
        <f t="shared" si="7"/>
        <v>0</v>
      </c>
      <c r="W23" s="26" t="str">
        <f t="shared" si="8"/>
        <v/>
      </c>
      <c r="X23" s="26" t="str">
        <f t="shared" si="9"/>
        <v/>
      </c>
      <c r="Y23" s="26" t="str">
        <f t="shared" si="10"/>
        <v/>
      </c>
    </row>
    <row r="24" spans="2:32" ht="43.2" x14ac:dyDescent="0.3">
      <c r="B24" s="25" t="s">
        <v>84</v>
      </c>
      <c r="C24" s="24" t="str">
        <f t="shared" si="11"/>
        <v>Construct Operating theatres– specific to specialties, for example ophthalmology, cardiology/cardiothoracic, gynecology, ENT, dentistry, urology, nephrology, etc</v>
      </c>
      <c r="D24" s="24" t="s">
        <v>58</v>
      </c>
      <c r="E24" s="24"/>
      <c r="F24" s="24"/>
      <c r="G24" s="25" t="s">
        <v>103</v>
      </c>
      <c r="H24" s="26"/>
      <c r="I24" s="24">
        <v>1</v>
      </c>
      <c r="J24" s="24"/>
      <c r="K24" s="24"/>
      <c r="L24" s="24"/>
      <c r="M24" s="24"/>
      <c r="N24" s="24" t="s">
        <v>59</v>
      </c>
      <c r="O24" s="24"/>
      <c r="P24" s="24"/>
      <c r="Q24" s="24"/>
      <c r="R24" s="26" t="str">
        <f t="shared" si="3"/>
        <v/>
      </c>
      <c r="S24" s="26" t="str">
        <f t="shared" si="4"/>
        <v/>
      </c>
      <c r="T24" s="26" t="str">
        <f t="shared" si="5"/>
        <v/>
      </c>
      <c r="U24" s="26" t="str">
        <f t="shared" si="6"/>
        <v/>
      </c>
      <c r="V24" s="26">
        <f t="shared" si="7"/>
        <v>0</v>
      </c>
      <c r="W24" s="26" t="str">
        <f t="shared" si="8"/>
        <v/>
      </c>
      <c r="X24" s="26" t="str">
        <f t="shared" si="9"/>
        <v/>
      </c>
      <c r="Y24" s="26" t="str">
        <f t="shared" si="10"/>
        <v/>
      </c>
    </row>
    <row r="25" spans="2:32" ht="43.2" x14ac:dyDescent="0.3">
      <c r="B25" s="25" t="s">
        <v>85</v>
      </c>
      <c r="C25" s="24" t="str">
        <f t="shared" si="11"/>
        <v>Construct Endoscopy Units (QECH, KCH, MCH)</v>
      </c>
      <c r="D25" s="24" t="s">
        <v>58</v>
      </c>
      <c r="E25" s="24"/>
      <c r="F25" s="24"/>
      <c r="G25" s="25" t="s">
        <v>115</v>
      </c>
      <c r="H25" s="26">
        <f>(262400+262400+200*500)*1.2*1030</f>
        <v>772252800</v>
      </c>
      <c r="I25" s="24">
        <v>1</v>
      </c>
      <c r="J25" s="24"/>
      <c r="K25" s="24"/>
      <c r="L25" s="24" t="s">
        <v>59</v>
      </c>
      <c r="M25" s="24"/>
      <c r="N25" s="24" t="s">
        <v>59</v>
      </c>
      <c r="O25" s="24"/>
      <c r="P25" s="24" t="s">
        <v>59</v>
      </c>
      <c r="Q25" s="24"/>
      <c r="R25" s="26" t="str">
        <f t="shared" si="3"/>
        <v/>
      </c>
      <c r="S25" s="26" t="str">
        <f t="shared" si="4"/>
        <v/>
      </c>
      <c r="T25" s="26">
        <f t="shared" si="5"/>
        <v>772252800</v>
      </c>
      <c r="U25" s="26" t="str">
        <f t="shared" si="6"/>
        <v/>
      </c>
      <c r="V25" s="26">
        <f t="shared" si="7"/>
        <v>772252800</v>
      </c>
      <c r="W25" s="26" t="str">
        <f t="shared" si="8"/>
        <v/>
      </c>
      <c r="X25" s="26">
        <f t="shared" si="9"/>
        <v>772252800</v>
      </c>
      <c r="Y25" s="26" t="str">
        <f t="shared" si="10"/>
        <v/>
      </c>
    </row>
    <row r="26" spans="2:32" ht="43.2" x14ac:dyDescent="0.3">
      <c r="B26" s="25" t="s">
        <v>86</v>
      </c>
      <c r="C26" s="24" t="str">
        <f t="shared" si="11"/>
        <v>Construct Catheterization lab for cardiac – specifically for QECH at this point but indicated KCH as well</v>
      </c>
      <c r="D26" s="24" t="s">
        <v>58</v>
      </c>
      <c r="E26" s="24"/>
      <c r="F26" s="24"/>
      <c r="G26" s="25" t="s">
        <v>115</v>
      </c>
      <c r="H26" s="26">
        <f>(262400+262400+200*500)*1.2*1030</f>
        <v>772252800</v>
      </c>
      <c r="I26" s="24">
        <v>1</v>
      </c>
      <c r="J26" s="24"/>
      <c r="K26" s="24"/>
      <c r="L26" s="24"/>
      <c r="M26" s="24" t="s">
        <v>59</v>
      </c>
      <c r="N26" s="24" t="s">
        <v>59</v>
      </c>
      <c r="O26" s="24"/>
      <c r="P26" s="24"/>
      <c r="Q26" s="24"/>
      <c r="R26" s="26" t="str">
        <f t="shared" si="3"/>
        <v/>
      </c>
      <c r="S26" s="26" t="str">
        <f t="shared" si="4"/>
        <v/>
      </c>
      <c r="T26" s="26" t="str">
        <f t="shared" si="5"/>
        <v/>
      </c>
      <c r="U26" s="26">
        <f t="shared" si="6"/>
        <v>772252800</v>
      </c>
      <c r="V26" s="26">
        <f t="shared" si="7"/>
        <v>772252800</v>
      </c>
      <c r="W26" s="26" t="str">
        <f t="shared" si="8"/>
        <v/>
      </c>
      <c r="X26" s="26" t="str">
        <f t="shared" si="9"/>
        <v/>
      </c>
      <c r="Y26" s="26" t="str">
        <f t="shared" si="10"/>
        <v/>
      </c>
    </row>
    <row r="27" spans="2:32" ht="57.6" x14ac:dyDescent="0.3">
      <c r="B27" s="25" t="s">
        <v>87</v>
      </c>
      <c r="C27" s="24" t="str">
        <f t="shared" si="11"/>
        <v>Construct Radiology Centers – expanded radiological services at all central hospitals but specifically radiotherapy for cancer center (not sure if this is infrastructure is within the cancer center at the moment or its more of a need for equipment and staff with expertise)</v>
      </c>
      <c r="D27" s="24" t="s">
        <v>58</v>
      </c>
      <c r="E27" s="24"/>
      <c r="F27" s="24"/>
      <c r="G27" s="25" t="s">
        <v>101</v>
      </c>
      <c r="H27" s="26">
        <f>14750000*1030*30%</f>
        <v>4557750000</v>
      </c>
      <c r="I27" s="24">
        <v>1</v>
      </c>
      <c r="J27" s="24"/>
      <c r="K27" s="24"/>
      <c r="L27" s="24"/>
      <c r="M27" s="24"/>
      <c r="N27" s="24" t="s">
        <v>59</v>
      </c>
      <c r="O27" s="24"/>
      <c r="P27" s="24"/>
      <c r="Q27" s="24"/>
      <c r="R27" s="26" t="str">
        <f t="shared" si="3"/>
        <v/>
      </c>
      <c r="S27" s="26" t="str">
        <f t="shared" si="4"/>
        <v/>
      </c>
      <c r="T27" s="26" t="str">
        <f t="shared" si="5"/>
        <v/>
      </c>
      <c r="U27" s="26" t="str">
        <f t="shared" si="6"/>
        <v/>
      </c>
      <c r="V27" s="26">
        <f t="shared" si="7"/>
        <v>4557750000</v>
      </c>
      <c r="W27" s="26" t="str">
        <f t="shared" si="8"/>
        <v/>
      </c>
      <c r="X27" s="26" t="str">
        <f t="shared" si="9"/>
        <v/>
      </c>
      <c r="Y27" s="26" t="str">
        <f t="shared" si="10"/>
        <v/>
      </c>
    </row>
    <row r="28" spans="2:32" ht="43.2" x14ac:dyDescent="0.3">
      <c r="B28" s="25" t="s">
        <v>88</v>
      </c>
      <c r="C28" s="24" t="str">
        <f t="shared" si="11"/>
        <v>Construct Dialysis unit (KCH, MCH, QECH)</v>
      </c>
      <c r="D28" s="24" t="s">
        <v>58</v>
      </c>
      <c r="E28" s="24"/>
      <c r="F28" s="24"/>
      <c r="G28" s="25" t="s">
        <v>115</v>
      </c>
      <c r="H28" s="26">
        <f>(262400+262400+200*500)*1.2*1030</f>
        <v>772252800</v>
      </c>
      <c r="I28" s="24">
        <v>1</v>
      </c>
      <c r="J28" s="24"/>
      <c r="K28" s="24"/>
      <c r="L28" s="24"/>
      <c r="M28" s="24"/>
      <c r="N28" s="24" t="s">
        <v>59</v>
      </c>
      <c r="O28" s="24"/>
      <c r="P28" s="24"/>
      <c r="Q28" s="24"/>
      <c r="R28" s="26" t="str">
        <f t="shared" si="3"/>
        <v/>
      </c>
      <c r="S28" s="26" t="str">
        <f t="shared" si="4"/>
        <v/>
      </c>
      <c r="T28" s="26" t="str">
        <f t="shared" si="5"/>
        <v/>
      </c>
      <c r="U28" s="26" t="str">
        <f t="shared" si="6"/>
        <v/>
      </c>
      <c r="V28" s="26">
        <f t="shared" si="7"/>
        <v>772252800</v>
      </c>
      <c r="W28" s="26" t="str">
        <f t="shared" si="8"/>
        <v/>
      </c>
      <c r="X28" s="26" t="str">
        <f t="shared" si="9"/>
        <v/>
      </c>
      <c r="Y28" s="26" t="str">
        <f t="shared" si="10"/>
        <v/>
      </c>
    </row>
    <row r="29" spans="2:32" ht="28.8" x14ac:dyDescent="0.3">
      <c r="B29" s="25" t="s">
        <v>89</v>
      </c>
      <c r="C29" s="24" t="str">
        <f t="shared" si="11"/>
        <v>Construct Pathology centers (all)</v>
      </c>
      <c r="D29" s="24" t="s">
        <v>58</v>
      </c>
      <c r="E29" s="24"/>
      <c r="F29" s="24"/>
      <c r="G29" s="25" t="s">
        <v>113</v>
      </c>
      <c r="H29" s="26">
        <f>500000*1030</f>
        <v>515000000</v>
      </c>
      <c r="I29" s="24">
        <v>1</v>
      </c>
      <c r="J29" s="24"/>
      <c r="K29" s="24"/>
      <c r="L29" s="24" t="s">
        <v>59</v>
      </c>
      <c r="M29" s="24"/>
      <c r="N29" s="24" t="s">
        <v>59</v>
      </c>
      <c r="O29" s="24" t="s">
        <v>59</v>
      </c>
      <c r="P29" s="24" t="s">
        <v>59</v>
      </c>
      <c r="Q29" s="24"/>
      <c r="R29" s="26" t="str">
        <f t="shared" si="3"/>
        <v/>
      </c>
      <c r="S29" s="26" t="str">
        <f t="shared" si="4"/>
        <v/>
      </c>
      <c r="T29" s="26">
        <f t="shared" si="5"/>
        <v>515000000</v>
      </c>
      <c r="U29" s="26" t="str">
        <f t="shared" si="6"/>
        <v/>
      </c>
      <c r="V29" s="26">
        <f t="shared" si="7"/>
        <v>515000000</v>
      </c>
      <c r="W29" s="26">
        <f t="shared" si="8"/>
        <v>515000000</v>
      </c>
      <c r="X29" s="26">
        <f t="shared" si="9"/>
        <v>515000000</v>
      </c>
      <c r="Y29" s="26" t="str">
        <f t="shared" si="10"/>
        <v/>
      </c>
    </row>
    <row r="30" spans="2:32" x14ac:dyDescent="0.3">
      <c r="B30" s="25" t="s">
        <v>90</v>
      </c>
      <c r="C30" s="24" t="str">
        <f t="shared" si="11"/>
        <v>Construct HEPA Isolation rooms (KCH)</v>
      </c>
      <c r="D30" s="24" t="s">
        <v>58</v>
      </c>
      <c r="E30" s="24"/>
      <c r="F30" s="24"/>
      <c r="G30" s="25" t="s">
        <v>114</v>
      </c>
      <c r="H30" s="26">
        <v>5000000000</v>
      </c>
      <c r="I30" s="24">
        <v>1</v>
      </c>
      <c r="J30" s="24"/>
      <c r="K30" s="24"/>
      <c r="L30" s="24"/>
      <c r="M30" s="24" t="s">
        <v>59</v>
      </c>
      <c r="N30" s="24"/>
      <c r="O30" s="24" t="s">
        <v>59</v>
      </c>
      <c r="P30" s="24" t="s">
        <v>59</v>
      </c>
      <c r="Q30" s="24" t="s">
        <v>59</v>
      </c>
      <c r="R30" s="26" t="str">
        <f t="shared" si="3"/>
        <v/>
      </c>
      <c r="S30" s="26" t="str">
        <f t="shared" si="4"/>
        <v/>
      </c>
      <c r="T30" s="26" t="str">
        <f t="shared" si="5"/>
        <v/>
      </c>
      <c r="U30" s="26">
        <f t="shared" si="6"/>
        <v>5000000000</v>
      </c>
      <c r="V30" s="26" t="str">
        <f t="shared" si="7"/>
        <v/>
      </c>
      <c r="W30" s="26">
        <f t="shared" si="8"/>
        <v>5000000000</v>
      </c>
      <c r="X30" s="26">
        <f t="shared" si="9"/>
        <v>5000000000</v>
      </c>
      <c r="Y30" s="26">
        <f t="shared" si="10"/>
        <v>5000000000</v>
      </c>
    </row>
    <row r="31" spans="2:32" x14ac:dyDescent="0.3">
      <c r="B31" s="25" t="s">
        <v>91</v>
      </c>
      <c r="C31" s="24" t="str">
        <f t="shared" si="11"/>
        <v>Construct Same Day Surgical Center (all)</v>
      </c>
      <c r="D31" s="24" t="s">
        <v>58</v>
      </c>
      <c r="E31" s="24"/>
      <c r="F31" s="24"/>
      <c r="G31" s="25" t="s">
        <v>104</v>
      </c>
      <c r="H31" s="26">
        <f>600000000</f>
        <v>600000000</v>
      </c>
      <c r="I31" s="24"/>
      <c r="J31" s="24"/>
      <c r="K31" s="24"/>
      <c r="L31" s="24"/>
      <c r="M31" s="24" t="s">
        <v>59</v>
      </c>
      <c r="N31" s="24"/>
      <c r="O31" s="24" t="s">
        <v>59</v>
      </c>
      <c r="P31" s="24" t="s">
        <v>59</v>
      </c>
      <c r="Q31" s="24" t="s">
        <v>59</v>
      </c>
      <c r="R31" s="26" t="str">
        <f t="shared" si="3"/>
        <v/>
      </c>
      <c r="S31" s="26" t="str">
        <f t="shared" si="4"/>
        <v/>
      </c>
      <c r="T31" s="26" t="str">
        <f t="shared" si="5"/>
        <v/>
      </c>
      <c r="U31" s="26">
        <f t="shared" si="6"/>
        <v>0</v>
      </c>
      <c r="V31" s="26" t="str">
        <f t="shared" si="7"/>
        <v/>
      </c>
      <c r="W31" s="26">
        <f t="shared" si="8"/>
        <v>0</v>
      </c>
      <c r="X31" s="26">
        <f t="shared" si="9"/>
        <v>0</v>
      </c>
      <c r="Y31" s="26">
        <f t="shared" si="10"/>
        <v>0</v>
      </c>
    </row>
    <row r="32" spans="2:32" ht="43.2" x14ac:dyDescent="0.3">
      <c r="B32" s="25" t="s">
        <v>92</v>
      </c>
      <c r="C32" s="24" t="str">
        <f t="shared" si="11"/>
        <v>Construct Improved specialty clinics – more space and procedure rooms (all)</v>
      </c>
      <c r="D32" s="24" t="s">
        <v>58</v>
      </c>
      <c r="E32" s="24"/>
      <c r="F32" s="24"/>
      <c r="G32" s="25" t="s">
        <v>110</v>
      </c>
      <c r="H32" s="26">
        <f>(262400+262400+200*500)*1.2*1030</f>
        <v>772252800</v>
      </c>
      <c r="I32" s="24">
        <v>1</v>
      </c>
      <c r="J32" s="24"/>
      <c r="K32" s="24"/>
      <c r="L32" s="24"/>
      <c r="M32" s="24" t="s">
        <v>59</v>
      </c>
      <c r="N32" s="24"/>
      <c r="O32" s="24" t="s">
        <v>59</v>
      </c>
      <c r="P32" s="24" t="s">
        <v>59</v>
      </c>
      <c r="Q32" s="24" t="s">
        <v>59</v>
      </c>
      <c r="R32" s="26" t="str">
        <f t="shared" si="3"/>
        <v/>
      </c>
      <c r="S32" s="26" t="str">
        <f t="shared" si="4"/>
        <v/>
      </c>
      <c r="T32" s="26" t="str">
        <f t="shared" si="5"/>
        <v/>
      </c>
      <c r="U32" s="26">
        <f t="shared" si="6"/>
        <v>772252800</v>
      </c>
      <c r="V32" s="26" t="str">
        <f t="shared" si="7"/>
        <v/>
      </c>
      <c r="W32" s="26">
        <f t="shared" si="8"/>
        <v>772252800</v>
      </c>
      <c r="X32" s="26">
        <f t="shared" si="9"/>
        <v>772252800</v>
      </c>
      <c r="Y32" s="26">
        <f t="shared" si="10"/>
        <v>772252800</v>
      </c>
    </row>
    <row r="33" spans="2:25" x14ac:dyDescent="0.3">
      <c r="B33" s="25" t="s">
        <v>93</v>
      </c>
      <c r="C33" s="24" t="str">
        <f t="shared" si="11"/>
        <v>Construct Short stay wards within A&amp;E (all)</v>
      </c>
      <c r="D33" s="24" t="s">
        <v>58</v>
      </c>
      <c r="E33" s="24"/>
      <c r="F33" s="24"/>
      <c r="G33" s="25" t="s">
        <v>103</v>
      </c>
      <c r="H33" s="26"/>
      <c r="I33" s="24">
        <v>1</v>
      </c>
      <c r="J33" s="24"/>
      <c r="K33" s="24"/>
      <c r="L33" s="24" t="s">
        <v>59</v>
      </c>
      <c r="M33" s="24"/>
      <c r="N33" s="24" t="s">
        <v>59</v>
      </c>
      <c r="O33" s="24" t="s">
        <v>59</v>
      </c>
      <c r="P33" s="24" t="s">
        <v>59</v>
      </c>
      <c r="Q33" s="24"/>
      <c r="R33" s="26" t="str">
        <f t="shared" si="3"/>
        <v/>
      </c>
      <c r="S33" s="26" t="str">
        <f t="shared" si="4"/>
        <v/>
      </c>
      <c r="T33" s="26">
        <f t="shared" si="5"/>
        <v>0</v>
      </c>
      <c r="U33" s="26" t="str">
        <f t="shared" si="6"/>
        <v/>
      </c>
      <c r="V33" s="26">
        <f t="shared" si="7"/>
        <v>0</v>
      </c>
      <c r="W33" s="26">
        <f t="shared" si="8"/>
        <v>0</v>
      </c>
      <c r="X33" s="26">
        <f t="shared" si="9"/>
        <v>0</v>
      </c>
      <c r="Y33" s="26" t="str">
        <f t="shared" si="10"/>
        <v/>
      </c>
    </row>
    <row r="34" spans="2:25" x14ac:dyDescent="0.3">
      <c r="B34" s="25" t="s">
        <v>94</v>
      </c>
      <c r="C34" s="24" t="str">
        <f t="shared" si="11"/>
        <v>Construct Rehabilitation units (all)</v>
      </c>
      <c r="D34" s="24" t="s">
        <v>58</v>
      </c>
      <c r="E34" s="24"/>
      <c r="F34" s="24"/>
      <c r="G34" s="25" t="s">
        <v>105</v>
      </c>
      <c r="H34" s="26">
        <f>184900*1030</f>
        <v>190447000</v>
      </c>
      <c r="I34" s="24">
        <v>1</v>
      </c>
      <c r="J34" s="24"/>
      <c r="K34" s="24"/>
      <c r="L34" s="24" t="s">
        <v>59</v>
      </c>
      <c r="M34" s="24"/>
      <c r="N34" s="24" t="s">
        <v>59</v>
      </c>
      <c r="O34" s="24" t="s">
        <v>59</v>
      </c>
      <c r="P34" s="24" t="s">
        <v>59</v>
      </c>
      <c r="Q34" s="24"/>
      <c r="R34" s="26" t="str">
        <f t="shared" si="3"/>
        <v/>
      </c>
      <c r="S34" s="26" t="str">
        <f t="shared" si="4"/>
        <v/>
      </c>
      <c r="T34" s="26">
        <f t="shared" si="5"/>
        <v>190447000</v>
      </c>
      <c r="U34" s="26" t="str">
        <f t="shared" si="6"/>
        <v/>
      </c>
      <c r="V34" s="26">
        <f t="shared" si="7"/>
        <v>190447000</v>
      </c>
      <c r="W34" s="26">
        <f t="shared" si="8"/>
        <v>190447000</v>
      </c>
      <c r="X34" s="26">
        <f t="shared" si="9"/>
        <v>190447000</v>
      </c>
      <c r="Y34" s="26" t="str">
        <f t="shared" si="10"/>
        <v/>
      </c>
    </row>
    <row r="35" spans="2:25" x14ac:dyDescent="0.3">
      <c r="B35" s="21"/>
      <c r="C35" s="21"/>
      <c r="D35" s="21"/>
      <c r="E35" s="21"/>
      <c r="F35" s="21"/>
      <c r="G35" s="21"/>
      <c r="H35" s="21"/>
      <c r="I35" s="21"/>
      <c r="J35" s="21"/>
      <c r="K35" s="21"/>
      <c r="L35" s="21"/>
      <c r="M35" s="21"/>
      <c r="N35" s="21"/>
      <c r="O35" s="21"/>
      <c r="P35" s="21"/>
      <c r="Q35" s="21"/>
      <c r="R35" s="27" t="str">
        <f t="shared" si="3"/>
        <v/>
      </c>
      <c r="S35" s="27" t="str">
        <f t="shared" si="4"/>
        <v/>
      </c>
      <c r="T35" s="27" t="str">
        <f t="shared" si="5"/>
        <v/>
      </c>
      <c r="U35" s="27" t="str">
        <f t="shared" si="6"/>
        <v/>
      </c>
      <c r="V35" s="27" t="str">
        <f t="shared" si="7"/>
        <v/>
      </c>
      <c r="W35" s="27" t="str">
        <f t="shared" si="8"/>
        <v/>
      </c>
      <c r="X35" s="27" t="str">
        <f t="shared" si="9"/>
        <v/>
      </c>
      <c r="Y35" s="27" t="str">
        <f t="shared" si="10"/>
        <v/>
      </c>
    </row>
    <row r="36" spans="2:25" x14ac:dyDescent="0.3">
      <c r="B36" s="21"/>
      <c r="C36" s="21"/>
      <c r="D36" s="21"/>
      <c r="E36" s="21"/>
      <c r="F36" s="21"/>
      <c r="G36" s="21"/>
      <c r="H36" s="21"/>
      <c r="I36" s="21"/>
      <c r="J36" s="21"/>
      <c r="K36" s="21"/>
      <c r="L36" s="21"/>
      <c r="M36" s="21"/>
      <c r="N36" s="21"/>
      <c r="O36" s="21"/>
      <c r="P36" s="21"/>
      <c r="Q36" s="21"/>
      <c r="R36" s="27" t="str">
        <f t="shared" si="3"/>
        <v/>
      </c>
      <c r="S36" s="27" t="str">
        <f t="shared" si="4"/>
        <v/>
      </c>
      <c r="T36" s="27" t="str">
        <f t="shared" si="5"/>
        <v/>
      </c>
      <c r="U36" s="27" t="str">
        <f t="shared" si="6"/>
        <v/>
      </c>
      <c r="V36" s="27" t="str">
        <f t="shared" si="7"/>
        <v/>
      </c>
      <c r="W36" s="27" t="str">
        <f t="shared" si="8"/>
        <v/>
      </c>
      <c r="X36" s="27" t="str">
        <f t="shared" si="9"/>
        <v/>
      </c>
      <c r="Y36" s="27" t="str">
        <f t="shared" si="10"/>
        <v/>
      </c>
    </row>
    <row r="37" spans="2:25" x14ac:dyDescent="0.3">
      <c r="B37" s="21"/>
      <c r="C37" s="21"/>
      <c r="D37" s="21"/>
      <c r="E37" s="21"/>
      <c r="F37" s="21"/>
      <c r="G37" s="21"/>
      <c r="H37" s="21"/>
      <c r="I37" s="21"/>
      <c r="J37" s="21"/>
      <c r="K37" s="21"/>
      <c r="L37" s="21"/>
      <c r="M37" s="21"/>
      <c r="N37" s="21"/>
      <c r="O37" s="21"/>
      <c r="P37" s="21"/>
      <c r="Q37" s="21"/>
      <c r="R37" s="27" t="str">
        <f t="shared" si="3"/>
        <v/>
      </c>
      <c r="S37" s="27" t="str">
        <f t="shared" si="4"/>
        <v/>
      </c>
      <c r="T37" s="27" t="str">
        <f t="shared" si="5"/>
        <v/>
      </c>
      <c r="U37" s="27" t="str">
        <f t="shared" si="6"/>
        <v/>
      </c>
      <c r="V37" s="27" t="str">
        <f t="shared" si="7"/>
        <v/>
      </c>
      <c r="W37" s="27" t="str">
        <f t="shared" si="8"/>
        <v/>
      </c>
      <c r="X37" s="27" t="str">
        <f t="shared" si="9"/>
        <v/>
      </c>
      <c r="Y37" s="27" t="str">
        <f t="shared" si="10"/>
        <v/>
      </c>
    </row>
  </sheetData>
  <phoneticPr fontId="3" type="noConversion"/>
  <hyperlinks>
    <hyperlink ref="G7" r:id="rId1" xr:uid="{D896BCB4-6790-418E-B941-CF9150E77E05}"/>
    <hyperlink ref="G10" r:id="rId2" xr:uid="{B6474B1B-4503-4D78-A760-9AD1F42019F7}"/>
  </hyperlinks>
  <pageMargins left="0.7" right="0.7" top="0.75" bottom="0.75" header="0.3" footer="0.3"/>
  <pageSetup orientation="portrait"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D0BD89-1EEF-504F-9E44-11FA9F22093B}">
  <dimension ref="A1:E79"/>
  <sheetViews>
    <sheetView zoomScale="120" zoomScaleNormal="120" workbookViewId="0"/>
  </sheetViews>
  <sheetFormatPr defaultColWidth="8.88671875" defaultRowHeight="14.4" x14ac:dyDescent="0.3"/>
  <cols>
    <col min="1" max="1" width="51.109375" bestFit="1" customWidth="1"/>
    <col min="2" max="2" width="10.33203125" customWidth="1"/>
    <col min="3" max="3" width="16.33203125" customWidth="1"/>
    <col min="4" max="4" width="12.109375" bestFit="1" customWidth="1"/>
    <col min="5" max="5" width="146.44140625" customWidth="1"/>
  </cols>
  <sheetData>
    <row r="1" spans="1:5" x14ac:dyDescent="0.3">
      <c r="A1" s="1" t="s">
        <v>0</v>
      </c>
      <c r="B1" s="2" t="s">
        <v>1</v>
      </c>
      <c r="C1" s="2" t="s">
        <v>2</v>
      </c>
      <c r="D1" s="3" t="s">
        <v>3</v>
      </c>
      <c r="E1" t="s">
        <v>4</v>
      </c>
    </row>
    <row r="2" spans="1:5" x14ac:dyDescent="0.3">
      <c r="A2" t="s">
        <v>5</v>
      </c>
      <c r="B2">
        <f>20*22</f>
        <v>440</v>
      </c>
      <c r="C2">
        <v>500</v>
      </c>
      <c r="D2" s="4">
        <f>B2*C2</f>
        <v>220000</v>
      </c>
      <c r="E2" t="s">
        <v>6</v>
      </c>
    </row>
    <row r="3" spans="1:5" x14ac:dyDescent="0.3">
      <c r="A3" s="5" t="s">
        <v>7</v>
      </c>
      <c r="B3" s="5"/>
      <c r="C3" s="5"/>
      <c r="D3" s="6"/>
    </row>
    <row r="4" spans="1:5" x14ac:dyDescent="0.3">
      <c r="A4" t="s">
        <v>8</v>
      </c>
      <c r="C4" s="7"/>
      <c r="D4" s="4">
        <v>30000</v>
      </c>
      <c r="E4" s="8" t="s">
        <v>9</v>
      </c>
    </row>
    <row r="5" spans="1:5" x14ac:dyDescent="0.3">
      <c r="A5" t="s">
        <v>10</v>
      </c>
      <c r="D5" s="4">
        <f>10000+1700+20*550+20*200</f>
        <v>26700</v>
      </c>
      <c r="E5" t="s">
        <v>11</v>
      </c>
    </row>
    <row r="6" spans="1:5" x14ac:dyDescent="0.3">
      <c r="A6" t="s">
        <v>12</v>
      </c>
      <c r="D6" s="4">
        <f>20500+1700+20*550+20*200</f>
        <v>37200</v>
      </c>
      <c r="E6" t="s">
        <v>11</v>
      </c>
    </row>
    <row r="7" spans="1:5" x14ac:dyDescent="0.3">
      <c r="A7" t="s">
        <v>13</v>
      </c>
      <c r="D7" s="4">
        <v>13000</v>
      </c>
      <c r="E7" t="s">
        <v>14</v>
      </c>
    </row>
    <row r="8" spans="1:5" x14ac:dyDescent="0.3">
      <c r="A8" t="s">
        <v>15</v>
      </c>
      <c r="D8" s="4"/>
      <c r="E8" t="s">
        <v>16</v>
      </c>
    </row>
    <row r="9" spans="1:5" x14ac:dyDescent="0.3">
      <c r="D9" s="4"/>
    </row>
    <row r="10" spans="1:5" x14ac:dyDescent="0.3">
      <c r="A10" s="9" t="s">
        <v>17</v>
      </c>
      <c r="B10" s="9"/>
      <c r="C10" s="9"/>
      <c r="D10" s="10">
        <f>SUM(D2:D9)</f>
        <v>326900</v>
      </c>
    </row>
    <row r="11" spans="1:5" x14ac:dyDescent="0.3">
      <c r="D11" s="11"/>
    </row>
    <row r="12" spans="1:5" x14ac:dyDescent="0.3">
      <c r="A12" s="1" t="s">
        <v>18</v>
      </c>
      <c r="B12" s="2" t="s">
        <v>1</v>
      </c>
      <c r="C12" s="2" t="s">
        <v>2</v>
      </c>
      <c r="D12" s="12" t="s">
        <v>3</v>
      </c>
      <c r="E12" t="s">
        <v>4</v>
      </c>
    </row>
    <row r="13" spans="1:5" x14ac:dyDescent="0.3">
      <c r="A13" t="s">
        <v>5</v>
      </c>
      <c r="B13">
        <v>200</v>
      </c>
      <c r="C13">
        <v>550</v>
      </c>
      <c r="D13" s="4">
        <f>B13*C13</f>
        <v>110000</v>
      </c>
    </row>
    <row r="14" spans="1:5" x14ac:dyDescent="0.3">
      <c r="A14" s="5" t="s">
        <v>7</v>
      </c>
      <c r="B14" s="5"/>
      <c r="C14" s="5"/>
      <c r="D14" s="6"/>
    </row>
    <row r="15" spans="1:5" x14ac:dyDescent="0.3">
      <c r="A15" t="s">
        <v>8</v>
      </c>
      <c r="D15" s="4">
        <v>20000</v>
      </c>
    </row>
    <row r="16" spans="1:5" x14ac:dyDescent="0.3">
      <c r="A16" t="s">
        <v>10</v>
      </c>
      <c r="D16" s="4">
        <f>8000+1700+10*550+10*200</f>
        <v>17200</v>
      </c>
      <c r="E16" t="s">
        <v>19</v>
      </c>
    </row>
    <row r="17" spans="1:5" x14ac:dyDescent="0.3">
      <c r="A17" t="s">
        <v>12</v>
      </c>
      <c r="D17" s="4">
        <f>15500+1700+10*550+10*200</f>
        <v>24700</v>
      </c>
      <c r="E17" t="s">
        <v>20</v>
      </c>
    </row>
    <row r="18" spans="1:5" x14ac:dyDescent="0.3">
      <c r="A18" t="s">
        <v>13</v>
      </c>
      <c r="D18" s="4">
        <v>13000</v>
      </c>
    </row>
    <row r="19" spans="1:5" x14ac:dyDescent="0.3">
      <c r="A19" t="s">
        <v>15</v>
      </c>
      <c r="D19" s="4"/>
    </row>
    <row r="20" spans="1:5" x14ac:dyDescent="0.3">
      <c r="D20" s="4"/>
    </row>
    <row r="21" spans="1:5" x14ac:dyDescent="0.3">
      <c r="D21" s="4"/>
    </row>
    <row r="22" spans="1:5" x14ac:dyDescent="0.3">
      <c r="A22" s="9" t="s">
        <v>17</v>
      </c>
      <c r="B22" s="9"/>
      <c r="C22" s="9"/>
      <c r="D22" s="10">
        <f>SUM(D13:D21)</f>
        <v>184900</v>
      </c>
    </row>
    <row r="23" spans="1:5" x14ac:dyDescent="0.3">
      <c r="D23" s="11"/>
    </row>
    <row r="24" spans="1:5" x14ac:dyDescent="0.3">
      <c r="A24" s="1" t="s">
        <v>21</v>
      </c>
      <c r="B24" s="1" t="s">
        <v>1</v>
      </c>
      <c r="C24" s="1" t="s">
        <v>2</v>
      </c>
      <c r="D24" s="12" t="s">
        <v>3</v>
      </c>
      <c r="E24" t="s">
        <v>4</v>
      </c>
    </row>
    <row r="25" spans="1:5" x14ac:dyDescent="0.3">
      <c r="A25" t="s">
        <v>5</v>
      </c>
      <c r="B25">
        <f>20*12</f>
        <v>240</v>
      </c>
      <c r="C25">
        <v>550</v>
      </c>
      <c r="D25" s="4">
        <f>B25*C25</f>
        <v>132000</v>
      </c>
    </row>
    <row r="26" spans="1:5" x14ac:dyDescent="0.3">
      <c r="A26" s="5" t="s">
        <v>7</v>
      </c>
      <c r="B26" s="5"/>
      <c r="C26" s="5"/>
      <c r="D26" s="6"/>
    </row>
    <row r="27" spans="1:5" x14ac:dyDescent="0.3">
      <c r="A27" t="s">
        <v>8</v>
      </c>
      <c r="D27" s="4">
        <v>20000</v>
      </c>
    </row>
    <row r="28" spans="1:5" x14ac:dyDescent="0.3">
      <c r="A28" t="s">
        <v>22</v>
      </c>
      <c r="D28" s="4">
        <f>8000+1700+8*550+8*200+2000</f>
        <v>17700</v>
      </c>
    </row>
    <row r="29" spans="1:5" x14ac:dyDescent="0.3">
      <c r="A29" t="s">
        <v>23</v>
      </c>
      <c r="D29" s="4">
        <f>15500+1700+8*550+8*200+2000</f>
        <v>25200</v>
      </c>
    </row>
    <row r="30" spans="1:5" x14ac:dyDescent="0.3">
      <c r="A30" t="s">
        <v>13</v>
      </c>
      <c r="D30" s="4">
        <v>13000</v>
      </c>
    </row>
    <row r="31" spans="1:5" x14ac:dyDescent="0.3">
      <c r="A31" t="s">
        <v>24</v>
      </c>
      <c r="D31" s="4"/>
    </row>
    <row r="32" spans="1:5" x14ac:dyDescent="0.3">
      <c r="D32" s="4"/>
    </row>
    <row r="33" spans="1:5" x14ac:dyDescent="0.3">
      <c r="A33" s="9" t="s">
        <v>17</v>
      </c>
      <c r="B33" s="9"/>
      <c r="C33" s="9"/>
      <c r="D33" s="10">
        <f>SUM(D25:D32)</f>
        <v>207900</v>
      </c>
    </row>
    <row r="34" spans="1:5" x14ac:dyDescent="0.3">
      <c r="A34" s="13"/>
      <c r="B34" s="13"/>
      <c r="C34" s="13"/>
      <c r="D34" s="14"/>
    </row>
    <row r="35" spans="1:5" x14ac:dyDescent="0.3">
      <c r="A35" s="1" t="s">
        <v>25</v>
      </c>
      <c r="B35" s="1" t="s">
        <v>1</v>
      </c>
      <c r="C35" s="1" t="s">
        <v>2</v>
      </c>
      <c r="D35" s="12" t="s">
        <v>3</v>
      </c>
      <c r="E35" t="s">
        <v>4</v>
      </c>
    </row>
    <row r="36" spans="1:5" x14ac:dyDescent="0.3">
      <c r="A36" t="s">
        <v>5</v>
      </c>
      <c r="B36">
        <v>250</v>
      </c>
      <c r="C36">
        <v>650</v>
      </c>
      <c r="D36" s="15">
        <f>B36*C36</f>
        <v>162500</v>
      </c>
      <c r="E36" t="s">
        <v>26</v>
      </c>
    </row>
    <row r="37" spans="1:5" x14ac:dyDescent="0.3">
      <c r="A37" s="5" t="s">
        <v>7</v>
      </c>
      <c r="B37" s="5"/>
      <c r="C37" s="5"/>
      <c r="D37" s="6"/>
    </row>
    <row r="38" spans="1:5" x14ac:dyDescent="0.3">
      <c r="A38" t="s">
        <v>8</v>
      </c>
      <c r="D38" s="4">
        <v>20000</v>
      </c>
    </row>
    <row r="39" spans="1:5" x14ac:dyDescent="0.3">
      <c r="A39" t="s">
        <v>22</v>
      </c>
      <c r="D39" s="4">
        <f>8000+1700+8*550+8*200+2000</f>
        <v>17700</v>
      </c>
    </row>
    <row r="40" spans="1:5" x14ac:dyDescent="0.3">
      <c r="A40" t="s">
        <v>23</v>
      </c>
      <c r="D40" s="4">
        <f>15500+1700+8*550+8*200+2000</f>
        <v>25200</v>
      </c>
    </row>
    <row r="41" spans="1:5" x14ac:dyDescent="0.3">
      <c r="A41" t="s">
        <v>13</v>
      </c>
      <c r="D41" s="4">
        <v>13000</v>
      </c>
    </row>
    <row r="42" spans="1:5" x14ac:dyDescent="0.3">
      <c r="A42" s="16" t="s">
        <v>27</v>
      </c>
      <c r="D42" s="4"/>
    </row>
    <row r="43" spans="1:5" ht="43.2" x14ac:dyDescent="0.3">
      <c r="A43" s="17" t="s">
        <v>28</v>
      </c>
      <c r="C43" t="s">
        <v>29</v>
      </c>
      <c r="D43" s="4">
        <v>24000</v>
      </c>
      <c r="E43" t="s">
        <v>30</v>
      </c>
    </row>
    <row r="44" spans="1:5" x14ac:dyDescent="0.3">
      <c r="A44" s="9" t="s">
        <v>17</v>
      </c>
      <c r="B44" s="9"/>
      <c r="C44" s="9"/>
      <c r="D44" s="10">
        <f>SUM(D36:D43)</f>
        <v>262400</v>
      </c>
    </row>
    <row r="47" spans="1:5" x14ac:dyDescent="0.3">
      <c r="A47" s="1" t="s">
        <v>31</v>
      </c>
      <c r="B47" s="1" t="s">
        <v>32</v>
      </c>
      <c r="C47" s="1" t="s">
        <v>33</v>
      </c>
      <c r="D47" s="12" t="s">
        <v>34</v>
      </c>
      <c r="E47" t="s">
        <v>4</v>
      </c>
    </row>
    <row r="48" spans="1:5" x14ac:dyDescent="0.3">
      <c r="B48" s="1"/>
      <c r="C48" s="1"/>
      <c r="D48" s="12"/>
    </row>
    <row r="49" spans="1:5" x14ac:dyDescent="0.3">
      <c r="A49" t="s">
        <v>35</v>
      </c>
      <c r="D49" s="4">
        <v>8500</v>
      </c>
      <c r="E49" t="s">
        <v>36</v>
      </c>
    </row>
    <row r="50" spans="1:5" x14ac:dyDescent="0.3">
      <c r="A50" t="s">
        <v>37</v>
      </c>
      <c r="D50" s="4">
        <v>25000</v>
      </c>
      <c r="E50" t="s">
        <v>38</v>
      </c>
    </row>
    <row r="51" spans="1:5" x14ac:dyDescent="0.3">
      <c r="A51" t="s">
        <v>39</v>
      </c>
      <c r="D51" s="4"/>
      <c r="E51" t="s">
        <v>40</v>
      </c>
    </row>
    <row r="52" spans="1:5" x14ac:dyDescent="0.3">
      <c r="A52" t="s">
        <v>41</v>
      </c>
      <c r="D52" s="4">
        <v>14000</v>
      </c>
      <c r="E52" t="s">
        <v>42</v>
      </c>
    </row>
    <row r="53" spans="1:5" x14ac:dyDescent="0.3">
      <c r="A53" t="s">
        <v>43</v>
      </c>
      <c r="D53" s="4">
        <v>30000</v>
      </c>
      <c r="E53" s="16" t="s">
        <v>44</v>
      </c>
    </row>
    <row r="54" spans="1:5" x14ac:dyDescent="0.3">
      <c r="A54" t="s">
        <v>45</v>
      </c>
      <c r="D54" s="4">
        <v>5000</v>
      </c>
      <c r="E54" t="s">
        <v>46</v>
      </c>
    </row>
    <row r="55" spans="1:5" x14ac:dyDescent="0.3">
      <c r="A55" t="s">
        <v>47</v>
      </c>
      <c r="D55" s="4">
        <v>45000</v>
      </c>
      <c r="E55" t="s">
        <v>48</v>
      </c>
    </row>
    <row r="56" spans="1:5" x14ac:dyDescent="0.3">
      <c r="A56" s="16" t="s">
        <v>49</v>
      </c>
      <c r="D56" s="18">
        <f>600000+1200*60+10000</f>
        <v>682000</v>
      </c>
      <c r="E56" t="s">
        <v>50</v>
      </c>
    </row>
    <row r="57" spans="1:5" x14ac:dyDescent="0.3">
      <c r="A57" t="s">
        <v>51</v>
      </c>
      <c r="D57" s="18">
        <v>80000</v>
      </c>
      <c r="E57" t="s">
        <v>52</v>
      </c>
    </row>
    <row r="58" spans="1:5" x14ac:dyDescent="0.3">
      <c r="D58" s="19"/>
    </row>
    <row r="59" spans="1:5" x14ac:dyDescent="0.3">
      <c r="D59" s="19"/>
    </row>
    <row r="60" spans="1:5" x14ac:dyDescent="0.3">
      <c r="D60" s="19"/>
    </row>
    <row r="61" spans="1:5" x14ac:dyDescent="0.3">
      <c r="D61" s="19"/>
    </row>
    <row r="62" spans="1:5" x14ac:dyDescent="0.3">
      <c r="A62" s="9" t="s">
        <v>17</v>
      </c>
      <c r="B62" s="9"/>
      <c r="C62" s="9"/>
      <c r="D62" s="20">
        <f>SUM(D49:D61)</f>
        <v>889500</v>
      </c>
    </row>
    <row r="64" spans="1:5" x14ac:dyDescent="0.3">
      <c r="A64" s="13" t="s">
        <v>53</v>
      </c>
    </row>
    <row r="65" spans="1:3" x14ac:dyDescent="0.3">
      <c r="A65" t="s">
        <v>54</v>
      </c>
      <c r="B65">
        <f>85*20%</f>
        <v>17</v>
      </c>
      <c r="C65" s="8">
        <f>B65*(D44+D33+D22+D10)</f>
        <v>16695700</v>
      </c>
    </row>
    <row r="66" spans="1:3" x14ac:dyDescent="0.3">
      <c r="A66" t="s">
        <v>55</v>
      </c>
      <c r="B66">
        <f>85-B65</f>
        <v>68</v>
      </c>
      <c r="C66" s="8">
        <f>SUM(D49:D55)*B66</f>
        <v>8670000</v>
      </c>
    </row>
    <row r="67" spans="1:3" x14ac:dyDescent="0.3">
      <c r="A67" t="s">
        <v>56</v>
      </c>
      <c r="B67">
        <v>4</v>
      </c>
      <c r="C67" s="8">
        <f>B67*SUM(D56:D57)</f>
        <v>3048000</v>
      </c>
    </row>
    <row r="68" spans="1:3" x14ac:dyDescent="0.3">
      <c r="A68" s="13" t="s">
        <v>57</v>
      </c>
      <c r="C68" s="8"/>
    </row>
    <row r="69" spans="1:3" x14ac:dyDescent="0.3">
      <c r="A69">
        <v>2021</v>
      </c>
      <c r="C69" s="8">
        <f>SUM(C65:C67)*10%</f>
        <v>2841370</v>
      </c>
    </row>
    <row r="70" spans="1:3" x14ac:dyDescent="0.3">
      <c r="A70">
        <f>A69+1</f>
        <v>2022</v>
      </c>
      <c r="C70" s="8">
        <f>SUM($C$65:$C$67)*10%</f>
        <v>2841370</v>
      </c>
    </row>
    <row r="71" spans="1:3" x14ac:dyDescent="0.3">
      <c r="A71">
        <f t="shared" ref="A71:A79" si="0">A70+1</f>
        <v>2023</v>
      </c>
      <c r="C71" s="8">
        <f t="shared" ref="C71:C78" si="1">SUM($C$65:$C$67)*10%</f>
        <v>2841370</v>
      </c>
    </row>
    <row r="72" spans="1:3" x14ac:dyDescent="0.3">
      <c r="A72">
        <f t="shared" si="0"/>
        <v>2024</v>
      </c>
      <c r="C72" s="8">
        <f t="shared" si="1"/>
        <v>2841370</v>
      </c>
    </row>
    <row r="73" spans="1:3" x14ac:dyDescent="0.3">
      <c r="A73">
        <f t="shared" si="0"/>
        <v>2025</v>
      </c>
      <c r="C73" s="8">
        <f t="shared" si="1"/>
        <v>2841370</v>
      </c>
    </row>
    <row r="74" spans="1:3" x14ac:dyDescent="0.3">
      <c r="A74">
        <f t="shared" si="0"/>
        <v>2026</v>
      </c>
      <c r="C74" s="8">
        <f t="shared" si="1"/>
        <v>2841370</v>
      </c>
    </row>
    <row r="75" spans="1:3" x14ac:dyDescent="0.3">
      <c r="A75">
        <f t="shared" si="0"/>
        <v>2027</v>
      </c>
      <c r="C75" s="8">
        <f t="shared" si="1"/>
        <v>2841370</v>
      </c>
    </row>
    <row r="76" spans="1:3" x14ac:dyDescent="0.3">
      <c r="A76">
        <f t="shared" si="0"/>
        <v>2028</v>
      </c>
      <c r="C76" s="8">
        <f t="shared" si="1"/>
        <v>2841370</v>
      </c>
    </row>
    <row r="77" spans="1:3" x14ac:dyDescent="0.3">
      <c r="A77">
        <f t="shared" si="0"/>
        <v>2029</v>
      </c>
      <c r="C77" s="8">
        <f t="shared" si="1"/>
        <v>2841370</v>
      </c>
    </row>
    <row r="78" spans="1:3" x14ac:dyDescent="0.3">
      <c r="A78">
        <f t="shared" si="0"/>
        <v>2030</v>
      </c>
      <c r="C78" s="8">
        <f t="shared" si="1"/>
        <v>2841370</v>
      </c>
    </row>
    <row r="79" spans="1:3" x14ac:dyDescent="0.3">
      <c r="A79">
        <f t="shared" si="0"/>
        <v>2031</v>
      </c>
    </row>
  </sheetData>
  <pageMargins left="0.7" right="0.7" top="0.75" bottom="0.75" header="0.3" footer="0.3"/>
  <pageSetup orientation="portrait" r:id="rId1"/>
  <tableParts count="5">
    <tablePart r:id="rId2"/>
    <tablePart r:id="rId3"/>
    <tablePart r:id="rId4"/>
    <tablePart r:id="rId5"/>
    <tablePart r:id="rId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Tertiary Hospital Infrastucture</vt:lpstr>
      <vt:lpstr>COST | Infrastructure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 Connolly</dc:creator>
  <cp:lastModifiedBy>Lalit Sharma</cp:lastModifiedBy>
  <cp:lastPrinted>2022-08-15T05:32:31Z</cp:lastPrinted>
  <dcterms:created xsi:type="dcterms:W3CDTF">2022-08-05T13:32:08Z</dcterms:created>
  <dcterms:modified xsi:type="dcterms:W3CDTF">2022-12-24T11:07:00Z</dcterms:modified>
</cp:coreProperties>
</file>